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ublic\Documents\emontiel\jobs\Pending\2018 01 QNI RIT_T\PADR\website\Monday\"/>
    </mc:Choice>
  </mc:AlternateContent>
  <bookViews>
    <workbookView xWindow="-105" yWindow="-105" windowWidth="19425" windowHeight="10425"/>
  </bookViews>
  <sheets>
    <sheet name="Overview of the model" sheetId="9" r:id="rId1"/>
    <sheet name="R1 Interface and results" sheetId="6" r:id="rId2"/>
    <sheet name="R2 Chart tables" sheetId="13" r:id="rId3"/>
    <sheet name="R3 Charts" sheetId="14" r:id="rId4"/>
    <sheet name="I1 General Inputs" sheetId="11" r:id="rId5"/>
    <sheet name="I2 CBA Inputs" sheetId="4" r:id="rId6"/>
    <sheet name="Calculation" sheetId="5" r:id="rId7"/>
    <sheet name="Sensitivities" sheetId="7" state="hidden" r:id="rId8"/>
    <sheet name="Thresholds" sheetId="8" state="hidden" r:id="rId9"/>
  </sheets>
  <definedNames>
    <definedName name="AnalysisPeriod">'I1 General Inputs'!$E$10</definedName>
    <definedName name="BaseYear">'I1 General Inputs'!$E$9</definedName>
    <definedName name="CapitalCost">'I2 CBA Inputs'!$A$8</definedName>
    <definedName name="CapitalCost_Baseline">'I2 CBA Inputs'!$F$8</definedName>
    <definedName name="CapitalCost_MC">#REF!</definedName>
    <definedName name="CapitalCost_NPV1">Sensitivities!$T$14:$AH$14</definedName>
    <definedName name="CapitalCost_Selection">'I2 CBA Inputs'!$I$8</definedName>
    <definedName name="CapitalCost_Sen1">Sensitivities!$S$14</definedName>
    <definedName name="CapitalCost_Thres1">Thresholds!$C$15</definedName>
    <definedName name="CorrMain">'I2 CBA Inputs'!#REF!</definedName>
    <definedName name="CorrMain_Baseline">'I2 CBA Inputs'!#REF!</definedName>
    <definedName name="CorrMain_MC">#REF!</definedName>
    <definedName name="CorrMain_NPV1">Sensitivities!#REF!</definedName>
    <definedName name="CorrMain_Selection">'I2 CBA Inputs'!#REF!</definedName>
    <definedName name="CorrMain_Sen1">Sensitivities!#REF!</definedName>
    <definedName name="CorrMain_Thres1">Thresholds!$C$16</definedName>
    <definedName name="DiscountRate">'I1 General Inputs'!$A$26</definedName>
    <definedName name="DiscountRate_Baseline">'I1 General Inputs'!$F$26</definedName>
    <definedName name="DiscountRate_Selection">'I1 General Inputs'!$I$26</definedName>
    <definedName name="DiscountRate_Sen1">Sensitivities!$B$14</definedName>
    <definedName name="DiscountRate_Thres1">Thresholds!$C$14</definedName>
    <definedName name="DiscountRateNPV1">Sensitivities!$C$14:$Q$14</definedName>
    <definedName name="FirstYear">'I1 General Inputs'!$E$8</definedName>
    <definedName name="Iteration">#REF!</definedName>
    <definedName name="MonteCarloNPV_Results">#REF!</definedName>
    <definedName name="MWh">'I2 CBA Inputs'!#REF!</definedName>
    <definedName name="MWh_Baseline">'I2 CBA Inputs'!#REF!</definedName>
    <definedName name="MWh_NPV1">Sensitivities!$AK$14:$AY$14</definedName>
    <definedName name="MWh_Selection">'I2 CBA Inputs'!#REF!</definedName>
    <definedName name="MWh_Sen1">Sensitivities!$AJ$14</definedName>
    <definedName name="MWh_Thres1">Thresholds!$C$17</definedName>
    <definedName name="NPV_Results">Sensitivities!$C$8:$Q$8</definedName>
    <definedName name="NPV_Results_V">Calculation!$F$8:$F$13</definedName>
    <definedName name="RoutineMain">'I2 CBA Inputs'!$A$9</definedName>
    <definedName name="RoutineMain_MC">#REF!</definedName>
    <definedName name="RoutineMain_Selection">'I2 CBA Inputs'!$I$9</definedName>
    <definedName name="Scenario_Select">'R1 Interface and results'!$D$8</definedName>
    <definedName name="ScenarioResult1">'R1 Interface and results'!#REF!</definedName>
    <definedName name="ScenarioResult2">'R1 Interface and results'!#REF!</definedName>
    <definedName name="ScenarioResult3">'R1 Interface and results'!#REF!</definedName>
    <definedName name="StartYear">#REF!</definedName>
    <definedName name="TriggerNPV_Results_V">#REF!</definedName>
    <definedName name="TriggerYear">#REF!</definedName>
    <definedName name="TriggerYear_1">#REF!</definedName>
    <definedName name="TriggerYear_Results1">#REF!</definedName>
    <definedName name="UnrelatedExp">'I2 CBA Inputs'!#REF!</definedName>
    <definedName name="UnrelatedExp_MC">#REF!</definedName>
    <definedName name="UnrelatedExp_Selection">'I2 CBA Inputs'!#REF!</definedName>
    <definedName name="VCR">'I2 CBA Inputs'!#REF!</definedName>
    <definedName name="VCR_Baseline">'I2 CBA Inputs'!#REF!</definedName>
    <definedName name="VCR_MC">#REF!</definedName>
    <definedName name="VCR_NPV1">Sensitivities!#REF!</definedName>
    <definedName name="VCR_Selection">'I2 CBA Inputs'!#REF!</definedName>
    <definedName name="VCR_Sen1">Sensitivities!#REF!</definedName>
    <definedName name="VCR_Thres1">Thresholds!#REF!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43" i="13" l="1"/>
  <c r="AR43" i="13"/>
  <c r="AQ43" i="13"/>
  <c r="AP43" i="13"/>
  <c r="AO43" i="13"/>
  <c r="AN43" i="13"/>
  <c r="AM43" i="13"/>
  <c r="AL43" i="13"/>
  <c r="AK43" i="13"/>
  <c r="AJ43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AS89" i="13"/>
  <c r="AR89" i="13"/>
  <c r="AQ89" i="13"/>
  <c r="AP89" i="13"/>
  <c r="AO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AS75" i="13"/>
  <c r="AR75" i="13"/>
  <c r="AQ75" i="13"/>
  <c r="AP75" i="13"/>
  <c r="AO75" i="13"/>
  <c r="AN75" i="13"/>
  <c r="AM75" i="13"/>
  <c r="AL75" i="13"/>
  <c r="AK75" i="13"/>
  <c r="AJ75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AS64" i="13"/>
  <c r="AR64" i="13"/>
  <c r="AQ64" i="13"/>
  <c r="AP64" i="13"/>
  <c r="AO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AS57" i="13"/>
  <c r="AR57" i="13"/>
  <c r="AQ57" i="13"/>
  <c r="AP57" i="13"/>
  <c r="AO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AS32" i="13"/>
  <c r="AR32" i="13"/>
  <c r="AQ32" i="13"/>
  <c r="AP32" i="13"/>
  <c r="AO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AS25" i="13"/>
  <c r="AR25" i="13"/>
  <c r="AQ25" i="13"/>
  <c r="AP25" i="13"/>
  <c r="AO25" i="13"/>
  <c r="AN25" i="13"/>
  <c r="AM25" i="13"/>
  <c r="AL25" i="13"/>
  <c r="AK25" i="13"/>
  <c r="AJ25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AS18" i="13"/>
  <c r="AR18" i="13"/>
  <c r="AQ18" i="13"/>
  <c r="AP18" i="13"/>
  <c r="AO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G227" i="4" l="1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AA227" i="4"/>
  <c r="AB227" i="4"/>
  <c r="AC227" i="4"/>
  <c r="AD227" i="4"/>
  <c r="AE227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AA218" i="4"/>
  <c r="AB218" i="4"/>
  <c r="AC218" i="4"/>
  <c r="AD218" i="4"/>
  <c r="AE218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AA209" i="4"/>
  <c r="AB209" i="4"/>
  <c r="AC209" i="4"/>
  <c r="AD209" i="4"/>
  <c r="AE209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AA200" i="4"/>
  <c r="AB200" i="4"/>
  <c r="AC200" i="4"/>
  <c r="AD200" i="4"/>
  <c r="AE200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AA189" i="4"/>
  <c r="AB189" i="4"/>
  <c r="AC189" i="4"/>
  <c r="AD189" i="4"/>
  <c r="AE189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AA180" i="4"/>
  <c r="AB180" i="4"/>
  <c r="AC180" i="4"/>
  <c r="AD180" i="4"/>
  <c r="AE180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AA171" i="4"/>
  <c r="AB171" i="4"/>
  <c r="AC171" i="4"/>
  <c r="AD171" i="4"/>
  <c r="AE171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AA162" i="4"/>
  <c r="AB162" i="4"/>
  <c r="AC162" i="4"/>
  <c r="AD162" i="4"/>
  <c r="AE162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AA151" i="4"/>
  <c r="AB151" i="4"/>
  <c r="AC151" i="4"/>
  <c r="AD151" i="4"/>
  <c r="AE151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AA142" i="4"/>
  <c r="AB142" i="4"/>
  <c r="AC142" i="4"/>
  <c r="AD142" i="4"/>
  <c r="AE142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AA133" i="4"/>
  <c r="AB133" i="4"/>
  <c r="AC133" i="4"/>
  <c r="AD133" i="4"/>
  <c r="AE133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AA124" i="4"/>
  <c r="AB124" i="4"/>
  <c r="AC124" i="4"/>
  <c r="AD124" i="4"/>
  <c r="AE124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T71" i="13" l="1"/>
  <c r="Q55" i="13" l="1"/>
  <c r="P55" i="13"/>
  <c r="O55" i="13"/>
  <c r="N55" i="13"/>
  <c r="M55" i="13"/>
  <c r="L55" i="13"/>
  <c r="Q44" i="13"/>
  <c r="P44" i="13"/>
  <c r="O44" i="13"/>
  <c r="N44" i="13"/>
  <c r="M44" i="13"/>
  <c r="L44" i="13"/>
  <c r="Q33" i="13"/>
  <c r="P33" i="13"/>
  <c r="O33" i="13"/>
  <c r="N33" i="13"/>
  <c r="M33" i="13"/>
  <c r="L33" i="13"/>
  <c r="C13" i="13" l="1"/>
  <c r="C23" i="4" l="1"/>
  <c r="C22" i="4"/>
  <c r="C26" i="4"/>
  <c r="C25" i="4"/>
  <c r="C24" i="4" l="1"/>
  <c r="T69" i="13" l="1"/>
  <c r="U69" i="13" s="1"/>
  <c r="V69" i="13" s="1"/>
  <c r="W69" i="13" s="1"/>
  <c r="X69" i="13" s="1"/>
  <c r="Y69" i="13" s="1"/>
  <c r="Z69" i="13" s="1"/>
  <c r="AA69" i="13" s="1"/>
  <c r="AB69" i="13" s="1"/>
  <c r="AC69" i="13" s="1"/>
  <c r="AD69" i="13" s="1"/>
  <c r="AE69" i="13" s="1"/>
  <c r="AF69" i="13" s="1"/>
  <c r="AG69" i="13" s="1"/>
  <c r="AH69" i="13" s="1"/>
  <c r="AI69" i="13" s="1"/>
  <c r="AJ69" i="13" s="1"/>
  <c r="AK69" i="13" s="1"/>
  <c r="AL69" i="13" s="1"/>
  <c r="AM69" i="13" s="1"/>
  <c r="AN69" i="13" s="1"/>
  <c r="AO69" i="13" s="1"/>
  <c r="AP69" i="13" s="1"/>
  <c r="AQ69" i="13" s="1"/>
  <c r="AR69" i="13" s="1"/>
  <c r="AS69" i="13" s="1"/>
  <c r="S69" i="13"/>
  <c r="T68" i="13"/>
  <c r="U68" i="13" s="1"/>
  <c r="V68" i="13" s="1"/>
  <c r="W68" i="13" s="1"/>
  <c r="X68" i="13" s="1"/>
  <c r="Y68" i="13" s="1"/>
  <c r="Z68" i="13" s="1"/>
  <c r="AA68" i="13" s="1"/>
  <c r="AB68" i="13" s="1"/>
  <c r="AC68" i="13" s="1"/>
  <c r="AD68" i="13" s="1"/>
  <c r="AE68" i="13" s="1"/>
  <c r="AF68" i="13" s="1"/>
  <c r="AG68" i="13" s="1"/>
  <c r="AH68" i="13" s="1"/>
  <c r="AI68" i="13" s="1"/>
  <c r="AJ68" i="13" s="1"/>
  <c r="AK68" i="13" s="1"/>
  <c r="AL68" i="13" s="1"/>
  <c r="AM68" i="13" s="1"/>
  <c r="AN68" i="13" s="1"/>
  <c r="AO68" i="13" s="1"/>
  <c r="AP68" i="13" s="1"/>
  <c r="AQ68" i="13" s="1"/>
  <c r="AR68" i="13" s="1"/>
  <c r="AS68" i="13" s="1"/>
  <c r="S68" i="13"/>
  <c r="T67" i="13"/>
  <c r="U67" i="13" s="1"/>
  <c r="V67" i="13" s="1"/>
  <c r="W67" i="13" s="1"/>
  <c r="X67" i="13" s="1"/>
  <c r="Y67" i="13" s="1"/>
  <c r="Z67" i="13" s="1"/>
  <c r="AA67" i="13" s="1"/>
  <c r="AB67" i="13" s="1"/>
  <c r="AC67" i="13" s="1"/>
  <c r="AD67" i="13" s="1"/>
  <c r="AE67" i="13" s="1"/>
  <c r="AF67" i="13" s="1"/>
  <c r="AG67" i="13" s="1"/>
  <c r="AH67" i="13" s="1"/>
  <c r="AI67" i="13" s="1"/>
  <c r="AJ67" i="13" s="1"/>
  <c r="AK67" i="13" s="1"/>
  <c r="AL67" i="13" s="1"/>
  <c r="AM67" i="13" s="1"/>
  <c r="AN67" i="13" s="1"/>
  <c r="AO67" i="13" s="1"/>
  <c r="AP67" i="13" s="1"/>
  <c r="AQ67" i="13" s="1"/>
  <c r="AR67" i="13" s="1"/>
  <c r="AS67" i="13" s="1"/>
  <c r="S67" i="13"/>
  <c r="T66" i="13"/>
  <c r="U66" i="13" s="1"/>
  <c r="V66" i="13" s="1"/>
  <c r="W66" i="13" s="1"/>
  <c r="X66" i="13" s="1"/>
  <c r="Y66" i="13" s="1"/>
  <c r="Z66" i="13" s="1"/>
  <c r="AA66" i="13" s="1"/>
  <c r="AB66" i="13" s="1"/>
  <c r="AC66" i="13" s="1"/>
  <c r="AD66" i="13" s="1"/>
  <c r="AE66" i="13" s="1"/>
  <c r="AF66" i="13" s="1"/>
  <c r="AG66" i="13" s="1"/>
  <c r="AH66" i="13" s="1"/>
  <c r="AI66" i="13" s="1"/>
  <c r="AJ66" i="13" s="1"/>
  <c r="AK66" i="13" s="1"/>
  <c r="AL66" i="13" s="1"/>
  <c r="AM66" i="13" s="1"/>
  <c r="AN66" i="13" s="1"/>
  <c r="AO66" i="13" s="1"/>
  <c r="AP66" i="13" s="1"/>
  <c r="AQ66" i="13" s="1"/>
  <c r="AR66" i="13" s="1"/>
  <c r="AS66" i="13" s="1"/>
  <c r="S66" i="13"/>
  <c r="T65" i="13"/>
  <c r="S65" i="13"/>
  <c r="T62" i="13"/>
  <c r="U62" i="13" s="1"/>
  <c r="V62" i="13" s="1"/>
  <c r="W62" i="13" s="1"/>
  <c r="X62" i="13" s="1"/>
  <c r="Y62" i="13" s="1"/>
  <c r="Z62" i="13" s="1"/>
  <c r="AA62" i="13" s="1"/>
  <c r="AB62" i="13" s="1"/>
  <c r="AC62" i="13" s="1"/>
  <c r="AD62" i="13" s="1"/>
  <c r="AE62" i="13" s="1"/>
  <c r="AF62" i="13" s="1"/>
  <c r="AG62" i="13" s="1"/>
  <c r="AH62" i="13" s="1"/>
  <c r="AI62" i="13" s="1"/>
  <c r="AJ62" i="13" s="1"/>
  <c r="AK62" i="13" s="1"/>
  <c r="AL62" i="13" s="1"/>
  <c r="AM62" i="13" s="1"/>
  <c r="AN62" i="13" s="1"/>
  <c r="AO62" i="13" s="1"/>
  <c r="AP62" i="13" s="1"/>
  <c r="AQ62" i="13" s="1"/>
  <c r="AR62" i="13" s="1"/>
  <c r="AS62" i="13" s="1"/>
  <c r="S62" i="13"/>
  <c r="T61" i="13"/>
  <c r="U61" i="13" s="1"/>
  <c r="V61" i="13" s="1"/>
  <c r="W61" i="13" s="1"/>
  <c r="X61" i="13" s="1"/>
  <c r="Y61" i="13" s="1"/>
  <c r="Z61" i="13" s="1"/>
  <c r="AA61" i="13" s="1"/>
  <c r="AB61" i="13" s="1"/>
  <c r="AC61" i="13" s="1"/>
  <c r="AD61" i="13" s="1"/>
  <c r="AE61" i="13" s="1"/>
  <c r="AF61" i="13" s="1"/>
  <c r="AG61" i="13" s="1"/>
  <c r="AH61" i="13" s="1"/>
  <c r="AI61" i="13" s="1"/>
  <c r="AJ61" i="13" s="1"/>
  <c r="AK61" i="13" s="1"/>
  <c r="AL61" i="13" s="1"/>
  <c r="AM61" i="13" s="1"/>
  <c r="AN61" i="13" s="1"/>
  <c r="AO61" i="13" s="1"/>
  <c r="AP61" i="13" s="1"/>
  <c r="AQ61" i="13" s="1"/>
  <c r="AR61" i="13" s="1"/>
  <c r="AS61" i="13" s="1"/>
  <c r="S61" i="13"/>
  <c r="T60" i="13"/>
  <c r="U60" i="13" s="1"/>
  <c r="V60" i="13" s="1"/>
  <c r="W60" i="13" s="1"/>
  <c r="X60" i="13" s="1"/>
  <c r="Y60" i="13" s="1"/>
  <c r="Z60" i="13" s="1"/>
  <c r="AA60" i="13" s="1"/>
  <c r="AB60" i="13" s="1"/>
  <c r="AC60" i="13" s="1"/>
  <c r="AD60" i="13" s="1"/>
  <c r="AE60" i="13" s="1"/>
  <c r="AF60" i="13" s="1"/>
  <c r="AG60" i="13" s="1"/>
  <c r="AH60" i="13" s="1"/>
  <c r="AI60" i="13" s="1"/>
  <c r="AJ60" i="13" s="1"/>
  <c r="AK60" i="13" s="1"/>
  <c r="AL60" i="13" s="1"/>
  <c r="AM60" i="13" s="1"/>
  <c r="AN60" i="13" s="1"/>
  <c r="AO60" i="13" s="1"/>
  <c r="AP60" i="13" s="1"/>
  <c r="AQ60" i="13" s="1"/>
  <c r="AR60" i="13" s="1"/>
  <c r="AS60" i="13" s="1"/>
  <c r="S60" i="13"/>
  <c r="T59" i="13"/>
  <c r="U59" i="13" s="1"/>
  <c r="V59" i="13" s="1"/>
  <c r="W59" i="13" s="1"/>
  <c r="X59" i="13" s="1"/>
  <c r="Y59" i="13" s="1"/>
  <c r="Z59" i="13" s="1"/>
  <c r="AA59" i="13" s="1"/>
  <c r="AB59" i="13" s="1"/>
  <c r="AC59" i="13" s="1"/>
  <c r="AD59" i="13" s="1"/>
  <c r="AE59" i="13" s="1"/>
  <c r="AF59" i="13" s="1"/>
  <c r="AG59" i="13" s="1"/>
  <c r="AH59" i="13" s="1"/>
  <c r="AI59" i="13" s="1"/>
  <c r="AJ59" i="13" s="1"/>
  <c r="AK59" i="13" s="1"/>
  <c r="AL59" i="13" s="1"/>
  <c r="AM59" i="13" s="1"/>
  <c r="AN59" i="13" s="1"/>
  <c r="AO59" i="13" s="1"/>
  <c r="AP59" i="13" s="1"/>
  <c r="AQ59" i="13" s="1"/>
  <c r="AR59" i="13" s="1"/>
  <c r="AS59" i="13" s="1"/>
  <c r="S59" i="13"/>
  <c r="T58" i="13"/>
  <c r="U58" i="13" s="1"/>
  <c r="V58" i="13" s="1"/>
  <c r="W58" i="13" s="1"/>
  <c r="X58" i="13" s="1"/>
  <c r="Y58" i="13" s="1"/>
  <c r="Z58" i="13" s="1"/>
  <c r="AA58" i="13" s="1"/>
  <c r="AB58" i="13" s="1"/>
  <c r="AC58" i="13" s="1"/>
  <c r="AD58" i="13" s="1"/>
  <c r="AE58" i="13" s="1"/>
  <c r="AF58" i="13" s="1"/>
  <c r="AG58" i="13" s="1"/>
  <c r="AH58" i="13" s="1"/>
  <c r="AI58" i="13" s="1"/>
  <c r="AJ58" i="13" s="1"/>
  <c r="AK58" i="13" s="1"/>
  <c r="AL58" i="13" s="1"/>
  <c r="AM58" i="13" s="1"/>
  <c r="AN58" i="13" s="1"/>
  <c r="AO58" i="13" s="1"/>
  <c r="AP58" i="13" s="1"/>
  <c r="AQ58" i="13" s="1"/>
  <c r="AR58" i="13" s="1"/>
  <c r="AS58" i="13" s="1"/>
  <c r="S58" i="13"/>
  <c r="T55" i="13"/>
  <c r="U55" i="13" s="1"/>
  <c r="V55" i="13" s="1"/>
  <c r="W55" i="13" s="1"/>
  <c r="X55" i="13" s="1"/>
  <c r="Y55" i="13" s="1"/>
  <c r="Z55" i="13" s="1"/>
  <c r="AA55" i="13" s="1"/>
  <c r="AB55" i="13" s="1"/>
  <c r="AC55" i="13" s="1"/>
  <c r="AD55" i="13" s="1"/>
  <c r="AE55" i="13" s="1"/>
  <c r="AF55" i="13" s="1"/>
  <c r="AG55" i="13" s="1"/>
  <c r="AH55" i="13" s="1"/>
  <c r="AI55" i="13" s="1"/>
  <c r="AJ55" i="13" s="1"/>
  <c r="AK55" i="13" s="1"/>
  <c r="AL55" i="13" s="1"/>
  <c r="AM55" i="13" s="1"/>
  <c r="AN55" i="13" s="1"/>
  <c r="AO55" i="13" s="1"/>
  <c r="AP55" i="13" s="1"/>
  <c r="AQ55" i="13" s="1"/>
  <c r="AR55" i="13" s="1"/>
  <c r="AS55" i="13" s="1"/>
  <c r="S55" i="13"/>
  <c r="T54" i="13"/>
  <c r="U54" i="13" s="1"/>
  <c r="V54" i="13" s="1"/>
  <c r="W54" i="13" s="1"/>
  <c r="X54" i="13" s="1"/>
  <c r="Y54" i="13" s="1"/>
  <c r="Z54" i="13" s="1"/>
  <c r="AA54" i="13" s="1"/>
  <c r="AB54" i="13" s="1"/>
  <c r="AC54" i="13" s="1"/>
  <c r="AD54" i="13" s="1"/>
  <c r="AE54" i="13" s="1"/>
  <c r="AF54" i="13" s="1"/>
  <c r="AG54" i="13" s="1"/>
  <c r="AH54" i="13" s="1"/>
  <c r="AI54" i="13" s="1"/>
  <c r="AJ54" i="13" s="1"/>
  <c r="AK54" i="13" s="1"/>
  <c r="AL54" i="13" s="1"/>
  <c r="AM54" i="13" s="1"/>
  <c r="AN54" i="13" s="1"/>
  <c r="AO54" i="13" s="1"/>
  <c r="AP54" i="13" s="1"/>
  <c r="AQ54" i="13" s="1"/>
  <c r="AR54" i="13" s="1"/>
  <c r="AS54" i="13" s="1"/>
  <c r="S54" i="13"/>
  <c r="T53" i="13"/>
  <c r="U53" i="13" s="1"/>
  <c r="V53" i="13" s="1"/>
  <c r="W53" i="13" s="1"/>
  <c r="X53" i="13" s="1"/>
  <c r="Y53" i="13" s="1"/>
  <c r="Z53" i="13" s="1"/>
  <c r="AA53" i="13" s="1"/>
  <c r="AB53" i="13" s="1"/>
  <c r="AC53" i="13" s="1"/>
  <c r="AD53" i="13" s="1"/>
  <c r="AE53" i="13" s="1"/>
  <c r="AF53" i="13" s="1"/>
  <c r="AG53" i="13" s="1"/>
  <c r="AH53" i="13" s="1"/>
  <c r="AI53" i="13" s="1"/>
  <c r="AJ53" i="13" s="1"/>
  <c r="AK53" i="13" s="1"/>
  <c r="AL53" i="13" s="1"/>
  <c r="AM53" i="13" s="1"/>
  <c r="AN53" i="13" s="1"/>
  <c r="AO53" i="13" s="1"/>
  <c r="AP53" i="13" s="1"/>
  <c r="AQ53" i="13" s="1"/>
  <c r="AR53" i="13" s="1"/>
  <c r="AS53" i="13" s="1"/>
  <c r="S53" i="13"/>
  <c r="T52" i="13"/>
  <c r="U52" i="13" s="1"/>
  <c r="V52" i="13" s="1"/>
  <c r="W52" i="13" s="1"/>
  <c r="X52" i="13" s="1"/>
  <c r="Y52" i="13" s="1"/>
  <c r="Z52" i="13" s="1"/>
  <c r="AA52" i="13" s="1"/>
  <c r="AB52" i="13" s="1"/>
  <c r="AC52" i="13" s="1"/>
  <c r="AD52" i="13" s="1"/>
  <c r="AE52" i="13" s="1"/>
  <c r="AF52" i="13" s="1"/>
  <c r="AG52" i="13" s="1"/>
  <c r="AH52" i="13" s="1"/>
  <c r="AI52" i="13" s="1"/>
  <c r="AJ52" i="13" s="1"/>
  <c r="AK52" i="13" s="1"/>
  <c r="AL52" i="13" s="1"/>
  <c r="AM52" i="13" s="1"/>
  <c r="AN52" i="13" s="1"/>
  <c r="AO52" i="13" s="1"/>
  <c r="AP52" i="13" s="1"/>
  <c r="AQ52" i="13" s="1"/>
  <c r="AR52" i="13" s="1"/>
  <c r="AS52" i="13" s="1"/>
  <c r="S52" i="13"/>
  <c r="T51" i="13"/>
  <c r="U51" i="13" s="1"/>
  <c r="V51" i="13" s="1"/>
  <c r="W51" i="13" s="1"/>
  <c r="X51" i="13" s="1"/>
  <c r="Y51" i="13" s="1"/>
  <c r="Z51" i="13" s="1"/>
  <c r="AA51" i="13" s="1"/>
  <c r="AB51" i="13" s="1"/>
  <c r="AC51" i="13" s="1"/>
  <c r="AD51" i="13" s="1"/>
  <c r="AE51" i="13" s="1"/>
  <c r="AF51" i="13" s="1"/>
  <c r="AG51" i="13" s="1"/>
  <c r="AH51" i="13" s="1"/>
  <c r="AI51" i="13" s="1"/>
  <c r="AJ51" i="13" s="1"/>
  <c r="AK51" i="13" s="1"/>
  <c r="AL51" i="13" s="1"/>
  <c r="AM51" i="13" s="1"/>
  <c r="AN51" i="13" s="1"/>
  <c r="AO51" i="13" s="1"/>
  <c r="AP51" i="13" s="1"/>
  <c r="AQ51" i="13" s="1"/>
  <c r="AR51" i="13" s="1"/>
  <c r="AS51" i="13" s="1"/>
  <c r="S51" i="13"/>
  <c r="T48" i="13"/>
  <c r="U48" i="13" s="1"/>
  <c r="V48" i="13" s="1"/>
  <c r="W48" i="13" s="1"/>
  <c r="X48" i="13" s="1"/>
  <c r="Y48" i="13" s="1"/>
  <c r="Z48" i="13" s="1"/>
  <c r="AA48" i="13" s="1"/>
  <c r="AB48" i="13" s="1"/>
  <c r="AC48" i="13" s="1"/>
  <c r="AD48" i="13" s="1"/>
  <c r="AE48" i="13" s="1"/>
  <c r="AF48" i="13" s="1"/>
  <c r="AG48" i="13" s="1"/>
  <c r="AH48" i="13" s="1"/>
  <c r="AI48" i="13" s="1"/>
  <c r="AJ48" i="13" s="1"/>
  <c r="AK48" i="13" s="1"/>
  <c r="AL48" i="13" s="1"/>
  <c r="AM48" i="13" s="1"/>
  <c r="AN48" i="13" s="1"/>
  <c r="AO48" i="13" s="1"/>
  <c r="AP48" i="13" s="1"/>
  <c r="AQ48" i="13" s="1"/>
  <c r="AR48" i="13" s="1"/>
  <c r="AS48" i="13" s="1"/>
  <c r="T47" i="13"/>
  <c r="U47" i="13" s="1"/>
  <c r="V47" i="13" s="1"/>
  <c r="W47" i="13" s="1"/>
  <c r="X47" i="13" s="1"/>
  <c r="Y47" i="13" s="1"/>
  <c r="Z47" i="13" s="1"/>
  <c r="AA47" i="13" s="1"/>
  <c r="AB47" i="13" s="1"/>
  <c r="AC47" i="13" s="1"/>
  <c r="AD47" i="13" s="1"/>
  <c r="AE47" i="13" s="1"/>
  <c r="AF47" i="13" s="1"/>
  <c r="AG47" i="13" s="1"/>
  <c r="AH47" i="13" s="1"/>
  <c r="AI47" i="13" s="1"/>
  <c r="AJ47" i="13" s="1"/>
  <c r="AK47" i="13" s="1"/>
  <c r="AL47" i="13" s="1"/>
  <c r="AM47" i="13" s="1"/>
  <c r="AN47" i="13" s="1"/>
  <c r="AO47" i="13" s="1"/>
  <c r="AP47" i="13" s="1"/>
  <c r="AQ47" i="13" s="1"/>
  <c r="AR47" i="13" s="1"/>
  <c r="AS47" i="13" s="1"/>
  <c r="T46" i="13"/>
  <c r="U46" i="13" s="1"/>
  <c r="T45" i="13"/>
  <c r="U45" i="13" s="1"/>
  <c r="V45" i="13" s="1"/>
  <c r="W45" i="13" s="1"/>
  <c r="X45" i="13" s="1"/>
  <c r="Y45" i="13" s="1"/>
  <c r="Z45" i="13" s="1"/>
  <c r="AA45" i="13" s="1"/>
  <c r="AB45" i="13" s="1"/>
  <c r="AC45" i="13" s="1"/>
  <c r="AD45" i="13" s="1"/>
  <c r="AE45" i="13" s="1"/>
  <c r="AF45" i="13" s="1"/>
  <c r="AG45" i="13" s="1"/>
  <c r="AH45" i="13" s="1"/>
  <c r="AI45" i="13" s="1"/>
  <c r="AJ45" i="13" s="1"/>
  <c r="AK45" i="13" s="1"/>
  <c r="AL45" i="13" s="1"/>
  <c r="AM45" i="13" s="1"/>
  <c r="AN45" i="13" s="1"/>
  <c r="AO45" i="13" s="1"/>
  <c r="AP45" i="13" s="1"/>
  <c r="AQ45" i="13" s="1"/>
  <c r="AR45" i="13" s="1"/>
  <c r="AS45" i="13" s="1"/>
  <c r="T44" i="13"/>
  <c r="U44" i="13" s="1"/>
  <c r="V44" i="13" s="1"/>
  <c r="W44" i="13" s="1"/>
  <c r="X44" i="13" s="1"/>
  <c r="Y44" i="13" s="1"/>
  <c r="Z44" i="13" s="1"/>
  <c r="AA44" i="13" s="1"/>
  <c r="AB44" i="13" s="1"/>
  <c r="AC44" i="13" s="1"/>
  <c r="AD44" i="13" s="1"/>
  <c r="AE44" i="13" s="1"/>
  <c r="AF44" i="13" s="1"/>
  <c r="AG44" i="13" s="1"/>
  <c r="AH44" i="13" s="1"/>
  <c r="AI44" i="13" s="1"/>
  <c r="AJ44" i="13" s="1"/>
  <c r="AK44" i="13" s="1"/>
  <c r="AL44" i="13" s="1"/>
  <c r="AM44" i="13" s="1"/>
  <c r="AN44" i="13" s="1"/>
  <c r="AO44" i="13" s="1"/>
  <c r="AP44" i="13" s="1"/>
  <c r="AQ44" i="13" s="1"/>
  <c r="AR44" i="13" s="1"/>
  <c r="AS44" i="13" s="1"/>
  <c r="S48" i="13"/>
  <c r="S47" i="13"/>
  <c r="S46" i="13"/>
  <c r="S45" i="13"/>
  <c r="S44" i="13"/>
  <c r="S101" i="13"/>
  <c r="S100" i="13"/>
  <c r="S99" i="13"/>
  <c r="S98" i="13"/>
  <c r="S97" i="13"/>
  <c r="S94" i="13"/>
  <c r="S93" i="13"/>
  <c r="S92" i="13"/>
  <c r="S91" i="13"/>
  <c r="S90" i="13"/>
  <c r="S87" i="13"/>
  <c r="S86" i="13"/>
  <c r="S85" i="13"/>
  <c r="S84" i="13"/>
  <c r="S83" i="13"/>
  <c r="S80" i="13"/>
  <c r="S79" i="13"/>
  <c r="S78" i="13"/>
  <c r="S77" i="13"/>
  <c r="S76" i="13"/>
  <c r="V46" i="13" l="1"/>
  <c r="U65" i="13"/>
  <c r="K15" i="13"/>
  <c r="V65" i="13" l="1"/>
  <c r="W46" i="13"/>
  <c r="W65" i="13" l="1"/>
  <c r="X46" i="13"/>
  <c r="X65" i="13" l="1"/>
  <c r="Y46" i="13"/>
  <c r="Y65" i="13" l="1"/>
  <c r="Z46" i="13"/>
  <c r="C21" i="4"/>
  <c r="C20" i="4"/>
  <c r="C19" i="4"/>
  <c r="C18" i="4"/>
  <c r="C17" i="4"/>
  <c r="C16" i="4"/>
  <c r="C15" i="4"/>
  <c r="Z65" i="13" l="1"/>
  <c r="AA46" i="13"/>
  <c r="S37" i="13"/>
  <c r="S36" i="13"/>
  <c r="S35" i="13"/>
  <c r="S34" i="13"/>
  <c r="S33" i="13"/>
  <c r="S30" i="13"/>
  <c r="S29" i="13"/>
  <c r="S28" i="13"/>
  <c r="S27" i="13"/>
  <c r="S26" i="13"/>
  <c r="S23" i="13"/>
  <c r="S22" i="13"/>
  <c r="S21" i="13"/>
  <c r="S20" i="13"/>
  <c r="S19" i="13"/>
  <c r="S16" i="13"/>
  <c r="S15" i="13"/>
  <c r="S14" i="13"/>
  <c r="S13" i="13"/>
  <c r="S12" i="13"/>
  <c r="S9" i="13"/>
  <c r="S8" i="13"/>
  <c r="S7" i="13"/>
  <c r="S6" i="13"/>
  <c r="S5" i="13"/>
  <c r="S11" i="13"/>
  <c r="K54" i="13"/>
  <c r="K53" i="13"/>
  <c r="K52" i="13"/>
  <c r="K51" i="13"/>
  <c r="K50" i="13"/>
  <c r="K49" i="13"/>
  <c r="K48" i="13"/>
  <c r="K43" i="13"/>
  <c r="K42" i="13"/>
  <c r="K41" i="13"/>
  <c r="K40" i="13"/>
  <c r="K39" i="13"/>
  <c r="K38" i="13"/>
  <c r="K37" i="13"/>
  <c r="K32" i="13"/>
  <c r="K31" i="13"/>
  <c r="K30" i="13"/>
  <c r="K29" i="13"/>
  <c r="K28" i="13"/>
  <c r="K27" i="13"/>
  <c r="K26" i="13"/>
  <c r="K21" i="13"/>
  <c r="K20" i="13"/>
  <c r="K19" i="13"/>
  <c r="K18" i="13"/>
  <c r="K17" i="13"/>
  <c r="K16" i="13"/>
  <c r="AA65" i="13" l="1"/>
  <c r="AB46" i="13"/>
  <c r="S75" i="13"/>
  <c r="S43" i="13"/>
  <c r="Q47" i="13"/>
  <c r="P47" i="13"/>
  <c r="O47" i="13"/>
  <c r="N47" i="13"/>
  <c r="M47" i="13"/>
  <c r="L47" i="13"/>
  <c r="Q36" i="13"/>
  <c r="P36" i="13"/>
  <c r="O36" i="13"/>
  <c r="N36" i="13"/>
  <c r="M36" i="13"/>
  <c r="L36" i="13"/>
  <c r="Q25" i="13"/>
  <c r="P25" i="13"/>
  <c r="O25" i="13"/>
  <c r="N25" i="13"/>
  <c r="M25" i="13"/>
  <c r="L25" i="13"/>
  <c r="Q14" i="13"/>
  <c r="P14" i="13"/>
  <c r="O14" i="13"/>
  <c r="N14" i="13"/>
  <c r="M14" i="13"/>
  <c r="L14" i="13"/>
  <c r="Q4" i="13"/>
  <c r="P4" i="13"/>
  <c r="O4" i="13"/>
  <c r="N4" i="13"/>
  <c r="M4" i="13"/>
  <c r="L4" i="13"/>
  <c r="H8" i="13"/>
  <c r="G8" i="13"/>
  <c r="F8" i="13"/>
  <c r="E8" i="13"/>
  <c r="D8" i="13"/>
  <c r="C8" i="13"/>
  <c r="U2" i="13"/>
  <c r="I12" i="13" l="1"/>
  <c r="I11" i="13"/>
  <c r="I10" i="13"/>
  <c r="I9" i="13"/>
  <c r="AB65" i="13"/>
  <c r="AC46" i="13"/>
  <c r="F89" i="4"/>
  <c r="G89" i="4" s="1"/>
  <c r="H89" i="4" s="1"/>
  <c r="I89" i="4" s="1"/>
  <c r="J89" i="4" s="1"/>
  <c r="K89" i="4" s="1"/>
  <c r="L89" i="4" s="1"/>
  <c r="M89" i="4" s="1"/>
  <c r="N89" i="4" s="1"/>
  <c r="O89" i="4" s="1"/>
  <c r="P89" i="4" s="1"/>
  <c r="Q89" i="4" s="1"/>
  <c r="R89" i="4" s="1"/>
  <c r="S89" i="4" s="1"/>
  <c r="T89" i="4" s="1"/>
  <c r="U89" i="4" s="1"/>
  <c r="AC65" i="13" l="1"/>
  <c r="AD46" i="13"/>
  <c r="N22" i="13"/>
  <c r="P22" i="13"/>
  <c r="O22" i="13"/>
  <c r="L22" i="13"/>
  <c r="AD65" i="13" l="1"/>
  <c r="AE46" i="13"/>
  <c r="Q22" i="13"/>
  <c r="M22" i="13"/>
  <c r="S32" i="13"/>
  <c r="S25" i="13"/>
  <c r="S18" i="13"/>
  <c r="B4" i="14"/>
  <c r="AC2" i="14"/>
  <c r="T2" i="14"/>
  <c r="B2" i="14"/>
  <c r="E13" i="13"/>
  <c r="H13" i="13"/>
  <c r="G13" i="13"/>
  <c r="D13" i="13"/>
  <c r="AE65" i="13" l="1"/>
  <c r="AF46" i="13"/>
  <c r="S64" i="13"/>
  <c r="S96" i="13"/>
  <c r="S57" i="13"/>
  <c r="S89" i="13"/>
  <c r="S50" i="13"/>
  <c r="S82" i="13"/>
  <c r="F13" i="13"/>
  <c r="I13" i="13" l="1"/>
  <c r="AF65" i="13"/>
  <c r="AG46" i="13"/>
  <c r="AG65" i="13" l="1"/>
  <c r="AH46" i="13"/>
  <c r="C228" i="4"/>
  <c r="C227" i="4"/>
  <c r="C226" i="4"/>
  <c r="C225" i="4"/>
  <c r="C224" i="4"/>
  <c r="C223" i="4"/>
  <c r="C222" i="4"/>
  <c r="C219" i="4"/>
  <c r="C218" i="4"/>
  <c r="C217" i="4"/>
  <c r="C216" i="4"/>
  <c r="C215" i="4"/>
  <c r="C214" i="4"/>
  <c r="C213" i="4"/>
  <c r="C210" i="4"/>
  <c r="C209" i="4"/>
  <c r="C208" i="4"/>
  <c r="C207" i="4"/>
  <c r="C206" i="4"/>
  <c r="C205" i="4"/>
  <c r="C204" i="4"/>
  <c r="C201" i="4"/>
  <c r="C200" i="4"/>
  <c r="C199" i="4"/>
  <c r="C198" i="4"/>
  <c r="C197" i="4"/>
  <c r="C196" i="4"/>
  <c r="C195" i="4"/>
  <c r="C190" i="4"/>
  <c r="C189" i="4"/>
  <c r="C188" i="4"/>
  <c r="C187" i="4"/>
  <c r="C186" i="4"/>
  <c r="C185" i="4"/>
  <c r="C184" i="4"/>
  <c r="C181" i="4"/>
  <c r="C180" i="4"/>
  <c r="C179" i="4"/>
  <c r="C178" i="4"/>
  <c r="C177" i="4"/>
  <c r="C176" i="4"/>
  <c r="C175" i="4"/>
  <c r="C172" i="4"/>
  <c r="C171" i="4"/>
  <c r="C170" i="4"/>
  <c r="C169" i="4"/>
  <c r="C168" i="4"/>
  <c r="C167" i="4"/>
  <c r="C166" i="4"/>
  <c r="C163" i="4"/>
  <c r="C162" i="4"/>
  <c r="C161" i="4"/>
  <c r="C160" i="4"/>
  <c r="C159" i="4"/>
  <c r="C158" i="4"/>
  <c r="C157" i="4"/>
  <c r="C152" i="4"/>
  <c r="C151" i="4"/>
  <c r="C150" i="4"/>
  <c r="C149" i="4"/>
  <c r="C148" i="4"/>
  <c r="C147" i="4"/>
  <c r="C146" i="4"/>
  <c r="C143" i="4"/>
  <c r="C142" i="4"/>
  <c r="C141" i="4"/>
  <c r="C140" i="4"/>
  <c r="C139" i="4"/>
  <c r="C138" i="4"/>
  <c r="C137" i="4"/>
  <c r="C134" i="4"/>
  <c r="C133" i="4"/>
  <c r="C132" i="4"/>
  <c r="C131" i="4"/>
  <c r="C130" i="4"/>
  <c r="C129" i="4"/>
  <c r="C128" i="4"/>
  <c r="C125" i="4"/>
  <c r="C124" i="4"/>
  <c r="C123" i="4"/>
  <c r="C122" i="4"/>
  <c r="C121" i="4"/>
  <c r="C120" i="4"/>
  <c r="C119" i="4"/>
  <c r="C114" i="4"/>
  <c r="C113" i="4"/>
  <c r="C112" i="4"/>
  <c r="C111" i="4"/>
  <c r="C110" i="4"/>
  <c r="C109" i="4"/>
  <c r="C108" i="4"/>
  <c r="C105" i="4"/>
  <c r="C104" i="4"/>
  <c r="C103" i="4"/>
  <c r="C102" i="4"/>
  <c r="C101" i="4"/>
  <c r="C100" i="4"/>
  <c r="C99" i="4"/>
  <c r="C96" i="4"/>
  <c r="C95" i="4"/>
  <c r="C94" i="4"/>
  <c r="C93" i="4"/>
  <c r="C92" i="4"/>
  <c r="C91" i="4"/>
  <c r="C90" i="4"/>
  <c r="C87" i="4"/>
  <c r="C86" i="4"/>
  <c r="C85" i="4"/>
  <c r="C84" i="4"/>
  <c r="C83" i="4"/>
  <c r="C82" i="4"/>
  <c r="C81" i="4"/>
  <c r="C76" i="4"/>
  <c r="C75" i="4"/>
  <c r="C74" i="4"/>
  <c r="C73" i="4"/>
  <c r="C72" i="4"/>
  <c r="C71" i="4"/>
  <c r="C70" i="4"/>
  <c r="C67" i="4"/>
  <c r="C66" i="4"/>
  <c r="C65" i="4"/>
  <c r="C64" i="4"/>
  <c r="C63" i="4"/>
  <c r="C62" i="4"/>
  <c r="C61" i="4"/>
  <c r="C58" i="4"/>
  <c r="C57" i="4"/>
  <c r="C56" i="4"/>
  <c r="C55" i="4"/>
  <c r="C54" i="4"/>
  <c r="C53" i="4"/>
  <c r="C52" i="4"/>
  <c r="C49" i="4"/>
  <c r="C48" i="4"/>
  <c r="C47" i="4"/>
  <c r="C46" i="4"/>
  <c r="C45" i="4"/>
  <c r="C44" i="4"/>
  <c r="C43" i="4"/>
  <c r="C30" i="4"/>
  <c r="C36" i="4"/>
  <c r="C35" i="4"/>
  <c r="C34" i="4"/>
  <c r="C33" i="4"/>
  <c r="C32" i="4"/>
  <c r="C31" i="4"/>
  <c r="AH65" i="13" l="1"/>
  <c r="AI46" i="13"/>
  <c r="F194" i="4"/>
  <c r="F221" i="4"/>
  <c r="G221" i="4" s="1"/>
  <c r="H221" i="4" s="1"/>
  <c r="I221" i="4" s="1"/>
  <c r="J221" i="4" s="1"/>
  <c r="K221" i="4" s="1"/>
  <c r="L221" i="4" s="1"/>
  <c r="M221" i="4" s="1"/>
  <c r="N221" i="4" s="1"/>
  <c r="O221" i="4" s="1"/>
  <c r="P221" i="4" s="1"/>
  <c r="Q221" i="4" s="1"/>
  <c r="R221" i="4" s="1"/>
  <c r="S221" i="4" s="1"/>
  <c r="T221" i="4" s="1"/>
  <c r="U221" i="4" s="1"/>
  <c r="V221" i="4" s="1"/>
  <c r="W221" i="4" s="1"/>
  <c r="X221" i="4" s="1"/>
  <c r="Y221" i="4" s="1"/>
  <c r="Z221" i="4" s="1"/>
  <c r="AA221" i="4" s="1"/>
  <c r="AB221" i="4" s="1"/>
  <c r="AC221" i="4" s="1"/>
  <c r="AD221" i="4" s="1"/>
  <c r="AE221" i="4" s="1"/>
  <c r="F212" i="4"/>
  <c r="G212" i="4" s="1"/>
  <c r="H212" i="4" s="1"/>
  <c r="I212" i="4" s="1"/>
  <c r="J212" i="4" s="1"/>
  <c r="K212" i="4" s="1"/>
  <c r="L212" i="4" s="1"/>
  <c r="M212" i="4" s="1"/>
  <c r="N212" i="4" s="1"/>
  <c r="O212" i="4" s="1"/>
  <c r="P212" i="4" s="1"/>
  <c r="Q212" i="4" s="1"/>
  <c r="R212" i="4" s="1"/>
  <c r="S212" i="4" s="1"/>
  <c r="T212" i="4" s="1"/>
  <c r="U212" i="4" s="1"/>
  <c r="V212" i="4" s="1"/>
  <c r="W212" i="4" s="1"/>
  <c r="X212" i="4" s="1"/>
  <c r="Y212" i="4" s="1"/>
  <c r="Z212" i="4" s="1"/>
  <c r="AA212" i="4" s="1"/>
  <c r="AB212" i="4" s="1"/>
  <c r="AC212" i="4" s="1"/>
  <c r="AD212" i="4" s="1"/>
  <c r="AE212" i="4" s="1"/>
  <c r="F203" i="4"/>
  <c r="G203" i="4" s="1"/>
  <c r="H203" i="4" s="1"/>
  <c r="I203" i="4" s="1"/>
  <c r="J203" i="4" s="1"/>
  <c r="K203" i="4" s="1"/>
  <c r="L203" i="4" s="1"/>
  <c r="M203" i="4" s="1"/>
  <c r="N203" i="4" s="1"/>
  <c r="O203" i="4" s="1"/>
  <c r="P203" i="4" s="1"/>
  <c r="Q203" i="4" s="1"/>
  <c r="R203" i="4" s="1"/>
  <c r="S203" i="4" s="1"/>
  <c r="T203" i="4" s="1"/>
  <c r="U203" i="4" s="1"/>
  <c r="V203" i="4" s="1"/>
  <c r="W203" i="4" s="1"/>
  <c r="X203" i="4" s="1"/>
  <c r="Y203" i="4" s="1"/>
  <c r="Z203" i="4" s="1"/>
  <c r="AA203" i="4" s="1"/>
  <c r="AB203" i="4" s="1"/>
  <c r="AC203" i="4" s="1"/>
  <c r="AD203" i="4" s="1"/>
  <c r="AE203" i="4" s="1"/>
  <c r="F183" i="4"/>
  <c r="G183" i="4" s="1"/>
  <c r="H183" i="4" s="1"/>
  <c r="I183" i="4" s="1"/>
  <c r="J183" i="4" s="1"/>
  <c r="K183" i="4" s="1"/>
  <c r="L183" i="4" s="1"/>
  <c r="M183" i="4" s="1"/>
  <c r="N183" i="4" s="1"/>
  <c r="O183" i="4" s="1"/>
  <c r="P183" i="4" s="1"/>
  <c r="Q183" i="4" s="1"/>
  <c r="R183" i="4" s="1"/>
  <c r="S183" i="4" s="1"/>
  <c r="T183" i="4" s="1"/>
  <c r="U183" i="4" s="1"/>
  <c r="V183" i="4" s="1"/>
  <c r="W183" i="4" s="1"/>
  <c r="X183" i="4" s="1"/>
  <c r="Y183" i="4" s="1"/>
  <c r="Z183" i="4" s="1"/>
  <c r="AA183" i="4" s="1"/>
  <c r="AB183" i="4" s="1"/>
  <c r="AC183" i="4" s="1"/>
  <c r="AD183" i="4" s="1"/>
  <c r="AE183" i="4" s="1"/>
  <c r="F145" i="4"/>
  <c r="G145" i="4" s="1"/>
  <c r="H145" i="4" s="1"/>
  <c r="I145" i="4" s="1"/>
  <c r="J145" i="4" s="1"/>
  <c r="K145" i="4" s="1"/>
  <c r="L145" i="4" s="1"/>
  <c r="M145" i="4" s="1"/>
  <c r="N145" i="4" s="1"/>
  <c r="O145" i="4" s="1"/>
  <c r="P145" i="4" s="1"/>
  <c r="Q145" i="4" s="1"/>
  <c r="R145" i="4" s="1"/>
  <c r="S145" i="4" s="1"/>
  <c r="T145" i="4" s="1"/>
  <c r="U145" i="4" s="1"/>
  <c r="V145" i="4" s="1"/>
  <c r="W145" i="4" s="1"/>
  <c r="X145" i="4" s="1"/>
  <c r="Y145" i="4" s="1"/>
  <c r="Z145" i="4" s="1"/>
  <c r="AA145" i="4" s="1"/>
  <c r="AB145" i="4" s="1"/>
  <c r="AC145" i="4" s="1"/>
  <c r="AD145" i="4" s="1"/>
  <c r="AE145" i="4" s="1"/>
  <c r="F136" i="4"/>
  <c r="G136" i="4" s="1"/>
  <c r="H136" i="4" s="1"/>
  <c r="I136" i="4" s="1"/>
  <c r="J136" i="4" s="1"/>
  <c r="K136" i="4" s="1"/>
  <c r="L136" i="4" s="1"/>
  <c r="M136" i="4" s="1"/>
  <c r="N136" i="4" s="1"/>
  <c r="O136" i="4" s="1"/>
  <c r="P136" i="4" s="1"/>
  <c r="Q136" i="4" s="1"/>
  <c r="R136" i="4" s="1"/>
  <c r="S136" i="4" s="1"/>
  <c r="T136" i="4" s="1"/>
  <c r="U136" i="4" s="1"/>
  <c r="V136" i="4" s="1"/>
  <c r="W136" i="4" s="1"/>
  <c r="X136" i="4" s="1"/>
  <c r="Y136" i="4" s="1"/>
  <c r="Z136" i="4" s="1"/>
  <c r="AA136" i="4" s="1"/>
  <c r="AB136" i="4" s="1"/>
  <c r="AC136" i="4" s="1"/>
  <c r="AD136" i="4" s="1"/>
  <c r="AE136" i="4" s="1"/>
  <c r="F127" i="4"/>
  <c r="G127" i="4" s="1"/>
  <c r="H127" i="4" s="1"/>
  <c r="I127" i="4" s="1"/>
  <c r="J127" i="4" s="1"/>
  <c r="K127" i="4" s="1"/>
  <c r="L127" i="4" s="1"/>
  <c r="M127" i="4" s="1"/>
  <c r="N127" i="4" s="1"/>
  <c r="O127" i="4" s="1"/>
  <c r="P127" i="4" s="1"/>
  <c r="Q127" i="4" s="1"/>
  <c r="R127" i="4" s="1"/>
  <c r="S127" i="4" s="1"/>
  <c r="T127" i="4" s="1"/>
  <c r="U127" i="4" s="1"/>
  <c r="V127" i="4" s="1"/>
  <c r="W127" i="4" s="1"/>
  <c r="X127" i="4" s="1"/>
  <c r="Y127" i="4" s="1"/>
  <c r="Z127" i="4" s="1"/>
  <c r="AA127" i="4" s="1"/>
  <c r="AB127" i="4" s="1"/>
  <c r="AC127" i="4" s="1"/>
  <c r="AD127" i="4" s="1"/>
  <c r="AE127" i="4" s="1"/>
  <c r="F107" i="4"/>
  <c r="G107" i="4" s="1"/>
  <c r="H107" i="4" s="1"/>
  <c r="I107" i="4" s="1"/>
  <c r="J107" i="4" s="1"/>
  <c r="K107" i="4" s="1"/>
  <c r="L107" i="4" s="1"/>
  <c r="M107" i="4" s="1"/>
  <c r="N107" i="4" s="1"/>
  <c r="O107" i="4" s="1"/>
  <c r="P107" i="4" s="1"/>
  <c r="Q107" i="4" s="1"/>
  <c r="R107" i="4" s="1"/>
  <c r="S107" i="4" s="1"/>
  <c r="T107" i="4" s="1"/>
  <c r="U107" i="4" s="1"/>
  <c r="V107" i="4" s="1"/>
  <c r="W107" i="4" s="1"/>
  <c r="X107" i="4" s="1"/>
  <c r="Y107" i="4" s="1"/>
  <c r="Z107" i="4" s="1"/>
  <c r="AA107" i="4" s="1"/>
  <c r="AB107" i="4" s="1"/>
  <c r="AC107" i="4" s="1"/>
  <c r="AD107" i="4" s="1"/>
  <c r="AE107" i="4" s="1"/>
  <c r="F118" i="4"/>
  <c r="F69" i="4"/>
  <c r="G69" i="4" s="1"/>
  <c r="H69" i="4" s="1"/>
  <c r="I69" i="4" s="1"/>
  <c r="J69" i="4" s="1"/>
  <c r="K69" i="4" s="1"/>
  <c r="L69" i="4" s="1"/>
  <c r="M69" i="4" s="1"/>
  <c r="N69" i="4" s="1"/>
  <c r="O69" i="4" s="1"/>
  <c r="P69" i="4" s="1"/>
  <c r="Q69" i="4" s="1"/>
  <c r="R69" i="4" s="1"/>
  <c r="S69" i="4" s="1"/>
  <c r="T69" i="4" s="1"/>
  <c r="U69" i="4" s="1"/>
  <c r="V69" i="4" s="1"/>
  <c r="W69" i="4" s="1"/>
  <c r="X69" i="4" s="1"/>
  <c r="Y69" i="4" s="1"/>
  <c r="Z69" i="4" s="1"/>
  <c r="AA69" i="4" s="1"/>
  <c r="AB69" i="4" s="1"/>
  <c r="AC69" i="4" s="1"/>
  <c r="AD69" i="4" s="1"/>
  <c r="AE69" i="4" s="1"/>
  <c r="I8" i="6"/>
  <c r="J8" i="6" s="1"/>
  <c r="K8" i="6" s="1"/>
  <c r="L8" i="6" s="1"/>
  <c r="K7" i="6"/>
  <c r="L7" i="6"/>
  <c r="AI65" i="13" l="1"/>
  <c r="AJ46" i="13"/>
  <c r="G118" i="4"/>
  <c r="AJ65" i="13" l="1"/>
  <c r="AK46" i="13"/>
  <c r="H118" i="4"/>
  <c r="AK65" i="13" l="1"/>
  <c r="AL46" i="13"/>
  <c r="I118" i="4"/>
  <c r="C31" i="5"/>
  <c r="C30" i="5"/>
  <c r="C29" i="5"/>
  <c r="C28" i="5"/>
  <c r="C27" i="5"/>
  <c r="C26" i="5"/>
  <c r="C22" i="5"/>
  <c r="C21" i="5"/>
  <c r="C20" i="5"/>
  <c r="C19" i="5"/>
  <c r="C18" i="5"/>
  <c r="C17" i="5"/>
  <c r="C13" i="5"/>
  <c r="C12" i="5"/>
  <c r="C11" i="5"/>
  <c r="C10" i="5"/>
  <c r="C9" i="5"/>
  <c r="C8" i="5"/>
  <c r="AL65" i="13" l="1"/>
  <c r="AM46" i="13"/>
  <c r="J118" i="4"/>
  <c r="C38" i="5"/>
  <c r="C53" i="5" s="1"/>
  <c r="D38" i="5"/>
  <c r="D53" i="5" s="1"/>
  <c r="C39" i="5"/>
  <c r="C54" i="5" s="1"/>
  <c r="D39" i="5"/>
  <c r="D54" i="5" s="1"/>
  <c r="C40" i="5"/>
  <c r="C55" i="5" s="1"/>
  <c r="D40" i="5"/>
  <c r="D55" i="5" s="1"/>
  <c r="C41" i="5"/>
  <c r="C56" i="5" s="1"/>
  <c r="D41" i="5"/>
  <c r="D56" i="5" s="1"/>
  <c r="C42" i="5"/>
  <c r="C57" i="5" s="1"/>
  <c r="D42" i="5"/>
  <c r="D57" i="5" s="1"/>
  <c r="C43" i="5"/>
  <c r="C58" i="5" s="1"/>
  <c r="D43" i="5"/>
  <c r="D58" i="5" s="1"/>
  <c r="C44" i="5"/>
  <c r="C59" i="5" s="1"/>
  <c r="D44" i="5"/>
  <c r="D59" i="5" s="1"/>
  <c r="C45" i="5"/>
  <c r="C60" i="5" s="1"/>
  <c r="D45" i="5"/>
  <c r="D60" i="5" s="1"/>
  <c r="C46" i="5"/>
  <c r="C61" i="5" s="1"/>
  <c r="D46" i="5"/>
  <c r="D61" i="5" s="1"/>
  <c r="C47" i="5"/>
  <c r="C62" i="5" s="1"/>
  <c r="D47" i="5"/>
  <c r="D62" i="5" s="1"/>
  <c r="C48" i="5"/>
  <c r="C63" i="5" s="1"/>
  <c r="D48" i="5"/>
  <c r="D63" i="5" s="1"/>
  <c r="AM65" i="13" l="1"/>
  <c r="AN46" i="13"/>
  <c r="K118" i="4"/>
  <c r="L118" i="4" s="1"/>
  <c r="H12" i="6"/>
  <c r="AN65" i="13" l="1"/>
  <c r="AO46" i="13"/>
  <c r="M118" i="4"/>
  <c r="D23" i="8"/>
  <c r="C23" i="8"/>
  <c r="AO65" i="13" l="1"/>
  <c r="AP46" i="13"/>
  <c r="N118" i="4"/>
  <c r="I7" i="6"/>
  <c r="J7" i="6"/>
  <c r="H14" i="6"/>
  <c r="H13" i="6"/>
  <c r="AP65" i="13" l="1"/>
  <c r="AQ46" i="13"/>
  <c r="O118" i="4"/>
  <c r="I26" i="11"/>
  <c r="A26" i="11" l="1"/>
  <c r="AQ65" i="13"/>
  <c r="AR46" i="13"/>
  <c r="AS46" i="13" s="1"/>
  <c r="P118" i="4"/>
  <c r="AR65" i="13" l="1"/>
  <c r="AS65" i="13" s="1"/>
  <c r="T80" i="13"/>
  <c r="U80" i="13" s="1"/>
  <c r="V80" i="13" s="1"/>
  <c r="W80" i="13" s="1"/>
  <c r="X80" i="13" s="1"/>
  <c r="Y80" i="13" s="1"/>
  <c r="Z80" i="13" s="1"/>
  <c r="AA80" i="13" s="1"/>
  <c r="AB80" i="13" s="1"/>
  <c r="AC80" i="13" s="1"/>
  <c r="AD80" i="13" s="1"/>
  <c r="AE80" i="13" s="1"/>
  <c r="AF80" i="13" s="1"/>
  <c r="AG80" i="13" s="1"/>
  <c r="AH80" i="13" s="1"/>
  <c r="AI80" i="13" s="1"/>
  <c r="AJ80" i="13" s="1"/>
  <c r="AK80" i="13" s="1"/>
  <c r="AL80" i="13" s="1"/>
  <c r="AM80" i="13" s="1"/>
  <c r="AN80" i="13" s="1"/>
  <c r="AO80" i="13" s="1"/>
  <c r="AP80" i="13" s="1"/>
  <c r="AQ80" i="13" s="1"/>
  <c r="T98" i="13"/>
  <c r="U98" i="13" s="1"/>
  <c r="V98" i="13" s="1"/>
  <c r="W98" i="13" s="1"/>
  <c r="X98" i="13" s="1"/>
  <c r="Y98" i="13" s="1"/>
  <c r="Z98" i="13" s="1"/>
  <c r="AA98" i="13" s="1"/>
  <c r="AB98" i="13" s="1"/>
  <c r="AC98" i="13" s="1"/>
  <c r="AD98" i="13" s="1"/>
  <c r="AE98" i="13" s="1"/>
  <c r="AF98" i="13" s="1"/>
  <c r="AG98" i="13" s="1"/>
  <c r="AH98" i="13" s="1"/>
  <c r="AI98" i="13" s="1"/>
  <c r="AJ98" i="13" s="1"/>
  <c r="AK98" i="13" s="1"/>
  <c r="AL98" i="13" s="1"/>
  <c r="AM98" i="13" s="1"/>
  <c r="AN98" i="13" s="1"/>
  <c r="AO98" i="13" s="1"/>
  <c r="AP98" i="13" s="1"/>
  <c r="AQ98" i="13" s="1"/>
  <c r="T76" i="13"/>
  <c r="T94" i="13"/>
  <c r="U94" i="13" s="1"/>
  <c r="V94" i="13" s="1"/>
  <c r="W94" i="13" s="1"/>
  <c r="X94" i="13" s="1"/>
  <c r="Y94" i="13" s="1"/>
  <c r="Z94" i="13" s="1"/>
  <c r="AA94" i="13" s="1"/>
  <c r="AB94" i="13" s="1"/>
  <c r="AC94" i="13" s="1"/>
  <c r="AD94" i="13" s="1"/>
  <c r="AE94" i="13" s="1"/>
  <c r="AF94" i="13" s="1"/>
  <c r="AG94" i="13" s="1"/>
  <c r="AH94" i="13" s="1"/>
  <c r="AI94" i="13" s="1"/>
  <c r="AJ94" i="13" s="1"/>
  <c r="AK94" i="13" s="1"/>
  <c r="AL94" i="13" s="1"/>
  <c r="AM94" i="13" s="1"/>
  <c r="AN94" i="13" s="1"/>
  <c r="AO94" i="13" s="1"/>
  <c r="AP94" i="13" s="1"/>
  <c r="AQ94" i="13" s="1"/>
  <c r="T100" i="13"/>
  <c r="U100" i="13" s="1"/>
  <c r="V100" i="13" s="1"/>
  <c r="W100" i="13" s="1"/>
  <c r="X100" i="13" s="1"/>
  <c r="Y100" i="13" s="1"/>
  <c r="Z100" i="13" s="1"/>
  <c r="AA100" i="13" s="1"/>
  <c r="AB100" i="13" s="1"/>
  <c r="AC100" i="13" s="1"/>
  <c r="AD100" i="13" s="1"/>
  <c r="AE100" i="13" s="1"/>
  <c r="AF100" i="13" s="1"/>
  <c r="AG100" i="13" s="1"/>
  <c r="AH100" i="13" s="1"/>
  <c r="AI100" i="13" s="1"/>
  <c r="AJ100" i="13" s="1"/>
  <c r="AK100" i="13" s="1"/>
  <c r="AL100" i="13" s="1"/>
  <c r="AM100" i="13" s="1"/>
  <c r="AN100" i="13" s="1"/>
  <c r="AO100" i="13" s="1"/>
  <c r="AP100" i="13" s="1"/>
  <c r="AQ100" i="13" s="1"/>
  <c r="T85" i="13"/>
  <c r="U85" i="13" s="1"/>
  <c r="V85" i="13" s="1"/>
  <c r="W85" i="13" s="1"/>
  <c r="X85" i="13" s="1"/>
  <c r="Y85" i="13" s="1"/>
  <c r="Z85" i="13" s="1"/>
  <c r="AA85" i="13" s="1"/>
  <c r="AB85" i="13" s="1"/>
  <c r="AC85" i="13" s="1"/>
  <c r="AD85" i="13" s="1"/>
  <c r="AE85" i="13" s="1"/>
  <c r="AF85" i="13" s="1"/>
  <c r="AG85" i="13" s="1"/>
  <c r="AH85" i="13" s="1"/>
  <c r="AI85" i="13" s="1"/>
  <c r="AJ85" i="13" s="1"/>
  <c r="AK85" i="13" s="1"/>
  <c r="AL85" i="13" s="1"/>
  <c r="AM85" i="13" s="1"/>
  <c r="AN85" i="13" s="1"/>
  <c r="AO85" i="13" s="1"/>
  <c r="AP85" i="13" s="1"/>
  <c r="AQ85" i="13" s="1"/>
  <c r="T97" i="13"/>
  <c r="T101" i="13"/>
  <c r="U101" i="13" s="1"/>
  <c r="V101" i="13" s="1"/>
  <c r="W101" i="13" s="1"/>
  <c r="X101" i="13" s="1"/>
  <c r="Y101" i="13" s="1"/>
  <c r="Z101" i="13" s="1"/>
  <c r="AA101" i="13" s="1"/>
  <c r="AB101" i="13" s="1"/>
  <c r="AC101" i="13" s="1"/>
  <c r="AD101" i="13" s="1"/>
  <c r="AE101" i="13" s="1"/>
  <c r="AF101" i="13" s="1"/>
  <c r="AG101" i="13" s="1"/>
  <c r="AH101" i="13" s="1"/>
  <c r="AI101" i="13" s="1"/>
  <c r="AJ101" i="13" s="1"/>
  <c r="AK101" i="13" s="1"/>
  <c r="AL101" i="13" s="1"/>
  <c r="AM101" i="13" s="1"/>
  <c r="AN101" i="13" s="1"/>
  <c r="AO101" i="13" s="1"/>
  <c r="AP101" i="13" s="1"/>
  <c r="AQ101" i="13" s="1"/>
  <c r="T84" i="13"/>
  <c r="U84" i="13" s="1"/>
  <c r="V84" i="13" s="1"/>
  <c r="W84" i="13" s="1"/>
  <c r="X84" i="13" s="1"/>
  <c r="Y84" i="13" s="1"/>
  <c r="Z84" i="13" s="1"/>
  <c r="AA84" i="13" s="1"/>
  <c r="AB84" i="13" s="1"/>
  <c r="AC84" i="13" s="1"/>
  <c r="AD84" i="13" s="1"/>
  <c r="AE84" i="13" s="1"/>
  <c r="AF84" i="13" s="1"/>
  <c r="AG84" i="13" s="1"/>
  <c r="AH84" i="13" s="1"/>
  <c r="AI84" i="13" s="1"/>
  <c r="AJ84" i="13" s="1"/>
  <c r="AK84" i="13" s="1"/>
  <c r="AL84" i="13" s="1"/>
  <c r="AM84" i="13" s="1"/>
  <c r="AN84" i="13" s="1"/>
  <c r="AO84" i="13" s="1"/>
  <c r="AP84" i="13" s="1"/>
  <c r="AQ84" i="13" s="1"/>
  <c r="T99" i="13"/>
  <c r="U99" i="13" s="1"/>
  <c r="V99" i="13" s="1"/>
  <c r="W99" i="13" s="1"/>
  <c r="X99" i="13" s="1"/>
  <c r="Y99" i="13" s="1"/>
  <c r="Z99" i="13" s="1"/>
  <c r="AA99" i="13" s="1"/>
  <c r="AB99" i="13" s="1"/>
  <c r="AC99" i="13" s="1"/>
  <c r="AD99" i="13" s="1"/>
  <c r="AE99" i="13" s="1"/>
  <c r="AF99" i="13" s="1"/>
  <c r="AG99" i="13" s="1"/>
  <c r="AH99" i="13" s="1"/>
  <c r="AI99" i="13" s="1"/>
  <c r="AJ99" i="13" s="1"/>
  <c r="AK99" i="13" s="1"/>
  <c r="AL99" i="13" s="1"/>
  <c r="AM99" i="13" s="1"/>
  <c r="AN99" i="13" s="1"/>
  <c r="AO99" i="13" s="1"/>
  <c r="AP99" i="13" s="1"/>
  <c r="AQ99" i="13" s="1"/>
  <c r="T83" i="13"/>
  <c r="T86" i="13"/>
  <c r="U86" i="13" s="1"/>
  <c r="V86" i="13" s="1"/>
  <c r="W86" i="13" s="1"/>
  <c r="X86" i="13" s="1"/>
  <c r="Y86" i="13" s="1"/>
  <c r="Z86" i="13" s="1"/>
  <c r="AA86" i="13" s="1"/>
  <c r="AB86" i="13" s="1"/>
  <c r="AC86" i="13" s="1"/>
  <c r="AD86" i="13" s="1"/>
  <c r="AE86" i="13" s="1"/>
  <c r="AF86" i="13" s="1"/>
  <c r="AG86" i="13" s="1"/>
  <c r="AH86" i="13" s="1"/>
  <c r="AI86" i="13" s="1"/>
  <c r="AJ86" i="13" s="1"/>
  <c r="AK86" i="13" s="1"/>
  <c r="AL86" i="13" s="1"/>
  <c r="AM86" i="13" s="1"/>
  <c r="AN86" i="13" s="1"/>
  <c r="AO86" i="13" s="1"/>
  <c r="AP86" i="13" s="1"/>
  <c r="AQ86" i="13" s="1"/>
  <c r="T77" i="13"/>
  <c r="U77" i="13" s="1"/>
  <c r="V77" i="13" s="1"/>
  <c r="W77" i="13" s="1"/>
  <c r="X77" i="13" s="1"/>
  <c r="Y77" i="13" s="1"/>
  <c r="Z77" i="13" s="1"/>
  <c r="AA77" i="13" s="1"/>
  <c r="AB77" i="13" s="1"/>
  <c r="AC77" i="13" s="1"/>
  <c r="AD77" i="13" s="1"/>
  <c r="AE77" i="13" s="1"/>
  <c r="AF77" i="13" s="1"/>
  <c r="AG77" i="13" s="1"/>
  <c r="AH77" i="13" s="1"/>
  <c r="AI77" i="13" s="1"/>
  <c r="AJ77" i="13" s="1"/>
  <c r="AK77" i="13" s="1"/>
  <c r="AL77" i="13" s="1"/>
  <c r="AM77" i="13" s="1"/>
  <c r="AN77" i="13" s="1"/>
  <c r="AO77" i="13" s="1"/>
  <c r="AP77" i="13" s="1"/>
  <c r="AQ77" i="13" s="1"/>
  <c r="T87" i="13"/>
  <c r="U87" i="13" s="1"/>
  <c r="V87" i="13" s="1"/>
  <c r="W87" i="13" s="1"/>
  <c r="X87" i="13" s="1"/>
  <c r="Y87" i="13" s="1"/>
  <c r="Z87" i="13" s="1"/>
  <c r="AA87" i="13" s="1"/>
  <c r="AB87" i="13" s="1"/>
  <c r="AC87" i="13" s="1"/>
  <c r="AD87" i="13" s="1"/>
  <c r="AE87" i="13" s="1"/>
  <c r="AF87" i="13" s="1"/>
  <c r="AG87" i="13" s="1"/>
  <c r="AH87" i="13" s="1"/>
  <c r="AI87" i="13" s="1"/>
  <c r="AJ87" i="13" s="1"/>
  <c r="AK87" i="13" s="1"/>
  <c r="AL87" i="13" s="1"/>
  <c r="AM87" i="13" s="1"/>
  <c r="AN87" i="13" s="1"/>
  <c r="AO87" i="13" s="1"/>
  <c r="AP87" i="13" s="1"/>
  <c r="AQ87" i="13" s="1"/>
  <c r="T90" i="13"/>
  <c r="T78" i="13"/>
  <c r="U78" i="13" s="1"/>
  <c r="V78" i="13" s="1"/>
  <c r="W78" i="13" s="1"/>
  <c r="X78" i="13" s="1"/>
  <c r="Y78" i="13" s="1"/>
  <c r="Z78" i="13" s="1"/>
  <c r="AA78" i="13" s="1"/>
  <c r="AB78" i="13" s="1"/>
  <c r="AC78" i="13" s="1"/>
  <c r="AD78" i="13" s="1"/>
  <c r="AE78" i="13" s="1"/>
  <c r="AF78" i="13" s="1"/>
  <c r="AG78" i="13" s="1"/>
  <c r="AH78" i="13" s="1"/>
  <c r="AI78" i="13" s="1"/>
  <c r="AJ78" i="13" s="1"/>
  <c r="AK78" i="13" s="1"/>
  <c r="AL78" i="13" s="1"/>
  <c r="AM78" i="13" s="1"/>
  <c r="AN78" i="13" s="1"/>
  <c r="AO78" i="13" s="1"/>
  <c r="AP78" i="13" s="1"/>
  <c r="AQ78" i="13" s="1"/>
  <c r="T91" i="13"/>
  <c r="U91" i="13" s="1"/>
  <c r="V91" i="13" s="1"/>
  <c r="W91" i="13" s="1"/>
  <c r="X91" i="13" s="1"/>
  <c r="Y91" i="13" s="1"/>
  <c r="Z91" i="13" s="1"/>
  <c r="AA91" i="13" s="1"/>
  <c r="AB91" i="13" s="1"/>
  <c r="AC91" i="13" s="1"/>
  <c r="AD91" i="13" s="1"/>
  <c r="AE91" i="13" s="1"/>
  <c r="AF91" i="13" s="1"/>
  <c r="AG91" i="13" s="1"/>
  <c r="AH91" i="13" s="1"/>
  <c r="AI91" i="13" s="1"/>
  <c r="AJ91" i="13" s="1"/>
  <c r="AK91" i="13" s="1"/>
  <c r="AL91" i="13" s="1"/>
  <c r="AM91" i="13" s="1"/>
  <c r="AN91" i="13" s="1"/>
  <c r="AO91" i="13" s="1"/>
  <c r="AP91" i="13" s="1"/>
  <c r="AQ91" i="13" s="1"/>
  <c r="T93" i="13"/>
  <c r="U93" i="13" s="1"/>
  <c r="V93" i="13" s="1"/>
  <c r="W93" i="13" s="1"/>
  <c r="X93" i="13" s="1"/>
  <c r="Y93" i="13" s="1"/>
  <c r="Z93" i="13" s="1"/>
  <c r="AA93" i="13" s="1"/>
  <c r="AB93" i="13" s="1"/>
  <c r="AC93" i="13" s="1"/>
  <c r="AD93" i="13" s="1"/>
  <c r="AE93" i="13" s="1"/>
  <c r="AF93" i="13" s="1"/>
  <c r="AG93" i="13" s="1"/>
  <c r="AH93" i="13" s="1"/>
  <c r="AI93" i="13" s="1"/>
  <c r="AJ93" i="13" s="1"/>
  <c r="AK93" i="13" s="1"/>
  <c r="AL93" i="13" s="1"/>
  <c r="AM93" i="13" s="1"/>
  <c r="AN93" i="13" s="1"/>
  <c r="AO93" i="13" s="1"/>
  <c r="AP93" i="13" s="1"/>
  <c r="AQ93" i="13" s="1"/>
  <c r="T92" i="13"/>
  <c r="U92" i="13" s="1"/>
  <c r="V92" i="13" s="1"/>
  <c r="W92" i="13" s="1"/>
  <c r="X92" i="13" s="1"/>
  <c r="Y92" i="13" s="1"/>
  <c r="Z92" i="13" s="1"/>
  <c r="AA92" i="13" s="1"/>
  <c r="AB92" i="13" s="1"/>
  <c r="AC92" i="13" s="1"/>
  <c r="AD92" i="13" s="1"/>
  <c r="AE92" i="13" s="1"/>
  <c r="AF92" i="13" s="1"/>
  <c r="AG92" i="13" s="1"/>
  <c r="AH92" i="13" s="1"/>
  <c r="AI92" i="13" s="1"/>
  <c r="AJ92" i="13" s="1"/>
  <c r="AK92" i="13" s="1"/>
  <c r="AL92" i="13" s="1"/>
  <c r="AM92" i="13" s="1"/>
  <c r="AN92" i="13" s="1"/>
  <c r="AO92" i="13" s="1"/>
  <c r="AP92" i="13" s="1"/>
  <c r="AQ92" i="13" s="1"/>
  <c r="T79" i="13"/>
  <c r="U79" i="13" s="1"/>
  <c r="V79" i="13" s="1"/>
  <c r="W79" i="13" s="1"/>
  <c r="X79" i="13" s="1"/>
  <c r="Y79" i="13" s="1"/>
  <c r="Z79" i="13" s="1"/>
  <c r="AA79" i="13" s="1"/>
  <c r="AB79" i="13" s="1"/>
  <c r="AC79" i="13" s="1"/>
  <c r="AD79" i="13" s="1"/>
  <c r="AE79" i="13" s="1"/>
  <c r="AF79" i="13" s="1"/>
  <c r="AG79" i="13" s="1"/>
  <c r="AH79" i="13" s="1"/>
  <c r="AI79" i="13" s="1"/>
  <c r="AJ79" i="13" s="1"/>
  <c r="AK79" i="13" s="1"/>
  <c r="AL79" i="13" s="1"/>
  <c r="AM79" i="13" s="1"/>
  <c r="AN79" i="13" s="1"/>
  <c r="AO79" i="13" s="1"/>
  <c r="AP79" i="13" s="1"/>
  <c r="AQ79" i="13" s="1"/>
  <c r="Q118" i="4"/>
  <c r="F98" i="4"/>
  <c r="G98" i="4" s="1"/>
  <c r="H98" i="4" s="1"/>
  <c r="I98" i="4" s="1"/>
  <c r="J98" i="4" s="1"/>
  <c r="K98" i="4" s="1"/>
  <c r="L98" i="4" s="1"/>
  <c r="M98" i="4" s="1"/>
  <c r="N98" i="4" s="1"/>
  <c r="O98" i="4" s="1"/>
  <c r="P98" i="4" s="1"/>
  <c r="Q98" i="4" s="1"/>
  <c r="R98" i="4" s="1"/>
  <c r="S98" i="4" s="1"/>
  <c r="T98" i="4" s="1"/>
  <c r="U98" i="4" s="1"/>
  <c r="V98" i="4" s="1"/>
  <c r="W98" i="4" s="1"/>
  <c r="X98" i="4" s="1"/>
  <c r="Y98" i="4" s="1"/>
  <c r="Z98" i="4" s="1"/>
  <c r="AA98" i="4" s="1"/>
  <c r="AB98" i="4" s="1"/>
  <c r="AC98" i="4" s="1"/>
  <c r="AD98" i="4" s="1"/>
  <c r="AE98" i="4" s="1"/>
  <c r="V89" i="4"/>
  <c r="W89" i="4" s="1"/>
  <c r="X89" i="4" s="1"/>
  <c r="Y89" i="4" s="1"/>
  <c r="Z89" i="4" s="1"/>
  <c r="AA89" i="4" s="1"/>
  <c r="AB89" i="4" s="1"/>
  <c r="AC89" i="4" s="1"/>
  <c r="AD89" i="4" s="1"/>
  <c r="AE89" i="4" s="1"/>
  <c r="A1" i="11"/>
  <c r="A14" i="11"/>
  <c r="A15" i="11"/>
  <c r="B15" i="11"/>
  <c r="A16" i="11"/>
  <c r="A17" i="11"/>
  <c r="A18" i="11"/>
  <c r="A19" i="11"/>
  <c r="A20" i="11"/>
  <c r="A1" i="4"/>
  <c r="AC127" i="5" l="1"/>
  <c r="Y127" i="5"/>
  <c r="U127" i="5"/>
  <c r="Q127" i="5"/>
  <c r="M127" i="5"/>
  <c r="I127" i="5"/>
  <c r="AD118" i="5"/>
  <c r="Z118" i="5"/>
  <c r="V118" i="5"/>
  <c r="R118" i="5"/>
  <c r="N118" i="5"/>
  <c r="J118" i="5"/>
  <c r="AE109" i="5"/>
  <c r="AA109" i="5"/>
  <c r="W109" i="5"/>
  <c r="S109" i="5"/>
  <c r="O109" i="5"/>
  <c r="K109" i="5"/>
  <c r="G109" i="5"/>
  <c r="AB127" i="5"/>
  <c r="X127" i="5"/>
  <c r="T127" i="5"/>
  <c r="P127" i="5"/>
  <c r="L127" i="5"/>
  <c r="H127" i="5"/>
  <c r="AC118" i="5"/>
  <c r="Y118" i="5"/>
  <c r="U118" i="5"/>
  <c r="Q118" i="5"/>
  <c r="M118" i="5"/>
  <c r="I118" i="5"/>
  <c r="AD109" i="5"/>
  <c r="Z109" i="5"/>
  <c r="V109" i="5"/>
  <c r="R109" i="5"/>
  <c r="N109" i="5"/>
  <c r="J109" i="5"/>
  <c r="AE127" i="5"/>
  <c r="AA127" i="5"/>
  <c r="W127" i="5"/>
  <c r="S127" i="5"/>
  <c r="O127" i="5"/>
  <c r="K127" i="5"/>
  <c r="G127" i="5"/>
  <c r="AB118" i="5"/>
  <c r="X118" i="5"/>
  <c r="T118" i="5"/>
  <c r="P118" i="5"/>
  <c r="L118" i="5"/>
  <c r="H118" i="5"/>
  <c r="AC109" i="5"/>
  <c r="Y109" i="5"/>
  <c r="U109" i="5"/>
  <c r="Q109" i="5"/>
  <c r="M109" i="5"/>
  <c r="I109" i="5"/>
  <c r="V127" i="5"/>
  <c r="S118" i="5"/>
  <c r="P109" i="5"/>
  <c r="AE100" i="5"/>
  <c r="AA100" i="5"/>
  <c r="W100" i="5"/>
  <c r="S100" i="5"/>
  <c r="O100" i="5"/>
  <c r="K100" i="5"/>
  <c r="G100" i="5"/>
  <c r="AB91" i="5"/>
  <c r="X91" i="5"/>
  <c r="T91" i="5"/>
  <c r="P91" i="5"/>
  <c r="L91" i="5"/>
  <c r="H91" i="5"/>
  <c r="R127" i="5"/>
  <c r="AE118" i="5"/>
  <c r="O118" i="5"/>
  <c r="AB109" i="5"/>
  <c r="L109" i="5"/>
  <c r="AD100" i="5"/>
  <c r="Z100" i="5"/>
  <c r="V100" i="5"/>
  <c r="R100" i="5"/>
  <c r="N100" i="5"/>
  <c r="J100" i="5"/>
  <c r="AE91" i="5"/>
  <c r="AA91" i="5"/>
  <c r="W91" i="5"/>
  <c r="S91" i="5"/>
  <c r="O91" i="5"/>
  <c r="K91" i="5"/>
  <c r="G91" i="5"/>
  <c r="AD127" i="5"/>
  <c r="N127" i="5"/>
  <c r="AA118" i="5"/>
  <c r="K118" i="5"/>
  <c r="X109" i="5"/>
  <c r="H109" i="5"/>
  <c r="AC100" i="5"/>
  <c r="Y100" i="5"/>
  <c r="U100" i="5"/>
  <c r="Q100" i="5"/>
  <c r="M100" i="5"/>
  <c r="I100" i="5"/>
  <c r="AD91" i="5"/>
  <c r="Z91" i="5"/>
  <c r="V91" i="5"/>
  <c r="R91" i="5"/>
  <c r="N91" i="5"/>
  <c r="J91" i="5"/>
  <c r="T100" i="5"/>
  <c r="Q91" i="5"/>
  <c r="L100" i="5"/>
  <c r="I91" i="5"/>
  <c r="H100" i="5"/>
  <c r="U91" i="5"/>
  <c r="P100" i="5"/>
  <c r="AC91" i="5"/>
  <c r="M91" i="5"/>
  <c r="Z127" i="5"/>
  <c r="W118" i="5"/>
  <c r="T109" i="5"/>
  <c r="AB100" i="5"/>
  <c r="Y91" i="5"/>
  <c r="J127" i="5"/>
  <c r="G118" i="5"/>
  <c r="X100" i="5"/>
  <c r="AC123" i="5"/>
  <c r="Y123" i="5"/>
  <c r="U123" i="5"/>
  <c r="Q123" i="5"/>
  <c r="M123" i="5"/>
  <c r="I123" i="5"/>
  <c r="AD114" i="5"/>
  <c r="Z114" i="5"/>
  <c r="V114" i="5"/>
  <c r="R114" i="5"/>
  <c r="N114" i="5"/>
  <c r="J114" i="5"/>
  <c r="AB123" i="5"/>
  <c r="X123" i="5"/>
  <c r="T123" i="5"/>
  <c r="P123" i="5"/>
  <c r="L123" i="5"/>
  <c r="H123" i="5"/>
  <c r="AC114" i="5"/>
  <c r="Y114" i="5"/>
  <c r="U114" i="5"/>
  <c r="Q114" i="5"/>
  <c r="M114" i="5"/>
  <c r="I114" i="5"/>
  <c r="AE123" i="5"/>
  <c r="AA123" i="5"/>
  <c r="W123" i="5"/>
  <c r="S123" i="5"/>
  <c r="O123" i="5"/>
  <c r="K123" i="5"/>
  <c r="G123" i="5"/>
  <c r="AB114" i="5"/>
  <c r="X114" i="5"/>
  <c r="T114" i="5"/>
  <c r="P114" i="5"/>
  <c r="L114" i="5"/>
  <c r="H114" i="5"/>
  <c r="Z123" i="5"/>
  <c r="J123" i="5"/>
  <c r="W114" i="5"/>
  <c r="G114" i="5"/>
  <c r="AD105" i="5"/>
  <c r="Z105" i="5"/>
  <c r="V105" i="5"/>
  <c r="R105" i="5"/>
  <c r="N105" i="5"/>
  <c r="J105" i="5"/>
  <c r="AE96" i="5"/>
  <c r="AA96" i="5"/>
  <c r="W96" i="5"/>
  <c r="S96" i="5"/>
  <c r="O96" i="5"/>
  <c r="K96" i="5"/>
  <c r="G96" i="5"/>
  <c r="V123" i="5"/>
  <c r="S114" i="5"/>
  <c r="AC105" i="5"/>
  <c r="Y105" i="5"/>
  <c r="U105" i="5"/>
  <c r="Q105" i="5"/>
  <c r="M105" i="5"/>
  <c r="I105" i="5"/>
  <c r="AD96" i="5"/>
  <c r="Z96" i="5"/>
  <c r="V96" i="5"/>
  <c r="R96" i="5"/>
  <c r="N96" i="5"/>
  <c r="J96" i="5"/>
  <c r="R123" i="5"/>
  <c r="AE114" i="5"/>
  <c r="O114" i="5"/>
  <c r="AB105" i="5"/>
  <c r="X105" i="5"/>
  <c r="T105" i="5"/>
  <c r="P105" i="5"/>
  <c r="L105" i="5"/>
  <c r="H105" i="5"/>
  <c r="AC96" i="5"/>
  <c r="Y96" i="5"/>
  <c r="U96" i="5"/>
  <c r="Q96" i="5"/>
  <c r="M96" i="5"/>
  <c r="I96" i="5"/>
  <c r="AD123" i="5"/>
  <c r="AA114" i="5"/>
  <c r="AA105" i="5"/>
  <c r="K105" i="5"/>
  <c r="X96" i="5"/>
  <c r="H96" i="5"/>
  <c r="AB87" i="5"/>
  <c r="X87" i="5"/>
  <c r="T87" i="5"/>
  <c r="P87" i="5"/>
  <c r="L87" i="5"/>
  <c r="H87" i="5"/>
  <c r="S105" i="5"/>
  <c r="P96" i="5"/>
  <c r="AD87" i="5"/>
  <c r="V87" i="5"/>
  <c r="N87" i="5"/>
  <c r="AE105" i="5"/>
  <c r="O105" i="5"/>
  <c r="AB96" i="5"/>
  <c r="AC87" i="5"/>
  <c r="U87" i="5"/>
  <c r="Q87" i="5"/>
  <c r="M87" i="5"/>
  <c r="N123" i="5"/>
  <c r="K114" i="5"/>
  <c r="W105" i="5"/>
  <c r="G105" i="5"/>
  <c r="T96" i="5"/>
  <c r="AE87" i="5"/>
  <c r="AA87" i="5"/>
  <c r="W87" i="5"/>
  <c r="S87" i="5"/>
  <c r="O87" i="5"/>
  <c r="K87" i="5"/>
  <c r="G87" i="5"/>
  <c r="Z87" i="5"/>
  <c r="R87" i="5"/>
  <c r="J87" i="5"/>
  <c r="L96" i="5"/>
  <c r="Y87" i="5"/>
  <c r="I87" i="5"/>
  <c r="AD126" i="5"/>
  <c r="Z126" i="5"/>
  <c r="V126" i="5"/>
  <c r="R126" i="5"/>
  <c r="N126" i="5"/>
  <c r="J126" i="5"/>
  <c r="AE117" i="5"/>
  <c r="AA117" i="5"/>
  <c r="W117" i="5"/>
  <c r="S117" i="5"/>
  <c r="O117" i="5"/>
  <c r="K117" i="5"/>
  <c r="G117" i="5"/>
  <c r="AB108" i="5"/>
  <c r="X108" i="5"/>
  <c r="T108" i="5"/>
  <c r="P108" i="5"/>
  <c r="L108" i="5"/>
  <c r="H108" i="5"/>
  <c r="AC126" i="5"/>
  <c r="Y126" i="5"/>
  <c r="U126" i="5"/>
  <c r="Q126" i="5"/>
  <c r="M126" i="5"/>
  <c r="I126" i="5"/>
  <c r="AD117" i="5"/>
  <c r="Z117" i="5"/>
  <c r="V117" i="5"/>
  <c r="R117" i="5"/>
  <c r="N117" i="5"/>
  <c r="J117" i="5"/>
  <c r="AE108" i="5"/>
  <c r="AA108" i="5"/>
  <c r="W108" i="5"/>
  <c r="S108" i="5"/>
  <c r="O108" i="5"/>
  <c r="K108" i="5"/>
  <c r="G108" i="5"/>
  <c r="AB126" i="5"/>
  <c r="X126" i="5"/>
  <c r="T126" i="5"/>
  <c r="P126" i="5"/>
  <c r="L126" i="5"/>
  <c r="H126" i="5"/>
  <c r="AC117" i="5"/>
  <c r="Y117" i="5"/>
  <c r="U117" i="5"/>
  <c r="Q117" i="5"/>
  <c r="M117" i="5"/>
  <c r="I117" i="5"/>
  <c r="AD108" i="5"/>
  <c r="Z108" i="5"/>
  <c r="V108" i="5"/>
  <c r="R108" i="5"/>
  <c r="N108" i="5"/>
  <c r="J108" i="5"/>
  <c r="AE126" i="5"/>
  <c r="O126" i="5"/>
  <c r="AB117" i="5"/>
  <c r="L117" i="5"/>
  <c r="Y108" i="5"/>
  <c r="I108" i="5"/>
  <c r="AB99" i="5"/>
  <c r="X99" i="5"/>
  <c r="T99" i="5"/>
  <c r="P99" i="5"/>
  <c r="L99" i="5"/>
  <c r="H99" i="5"/>
  <c r="AC90" i="5"/>
  <c r="Y90" i="5"/>
  <c r="U90" i="5"/>
  <c r="Q90" i="5"/>
  <c r="M90" i="5"/>
  <c r="I90" i="5"/>
  <c r="AA126" i="5"/>
  <c r="K126" i="5"/>
  <c r="X117" i="5"/>
  <c r="H117" i="5"/>
  <c r="U108" i="5"/>
  <c r="AE99" i="5"/>
  <c r="AA99" i="5"/>
  <c r="W99" i="5"/>
  <c r="S99" i="5"/>
  <c r="O99" i="5"/>
  <c r="K99" i="5"/>
  <c r="G99" i="5"/>
  <c r="AB90" i="5"/>
  <c r="X90" i="5"/>
  <c r="T90" i="5"/>
  <c r="P90" i="5"/>
  <c r="L90" i="5"/>
  <c r="H90" i="5"/>
  <c r="W126" i="5"/>
  <c r="G126" i="5"/>
  <c r="T117" i="5"/>
  <c r="Q108" i="5"/>
  <c r="AD99" i="5"/>
  <c r="Z99" i="5"/>
  <c r="V99" i="5"/>
  <c r="R99" i="5"/>
  <c r="N99" i="5"/>
  <c r="J99" i="5"/>
  <c r="AE90" i="5"/>
  <c r="AA90" i="5"/>
  <c r="W90" i="5"/>
  <c r="S90" i="5"/>
  <c r="O90" i="5"/>
  <c r="K90" i="5"/>
  <c r="G90" i="5"/>
  <c r="S126" i="5"/>
  <c r="P117" i="5"/>
  <c r="M108" i="5"/>
  <c r="AC99" i="5"/>
  <c r="M99" i="5"/>
  <c r="Z90" i="5"/>
  <c r="J90" i="5"/>
  <c r="Q99" i="5"/>
  <c r="AD90" i="5"/>
  <c r="Y99" i="5"/>
  <c r="I99" i="5"/>
  <c r="V90" i="5"/>
  <c r="U99" i="5"/>
  <c r="R90" i="5"/>
  <c r="AC108" i="5"/>
  <c r="N90" i="5"/>
  <c r="AE125" i="5"/>
  <c r="AA125" i="5"/>
  <c r="W125" i="5"/>
  <c r="S125" i="5"/>
  <c r="O125" i="5"/>
  <c r="K125" i="5"/>
  <c r="G125" i="5"/>
  <c r="AB116" i="5"/>
  <c r="X116" i="5"/>
  <c r="T116" i="5"/>
  <c r="P116" i="5"/>
  <c r="L116" i="5"/>
  <c r="H116" i="5"/>
  <c r="AC107" i="5"/>
  <c r="Y107" i="5"/>
  <c r="U107" i="5"/>
  <c r="Q107" i="5"/>
  <c r="M107" i="5"/>
  <c r="I107" i="5"/>
  <c r="AD125" i="5"/>
  <c r="Z125" i="5"/>
  <c r="V125" i="5"/>
  <c r="R125" i="5"/>
  <c r="N125" i="5"/>
  <c r="J125" i="5"/>
  <c r="AE116" i="5"/>
  <c r="AA116" i="5"/>
  <c r="W116" i="5"/>
  <c r="S116" i="5"/>
  <c r="O116" i="5"/>
  <c r="K116" i="5"/>
  <c r="G116" i="5"/>
  <c r="AB107" i="5"/>
  <c r="X107" i="5"/>
  <c r="T107" i="5"/>
  <c r="P107" i="5"/>
  <c r="L107" i="5"/>
  <c r="H107" i="5"/>
  <c r="AC125" i="5"/>
  <c r="Y125" i="5"/>
  <c r="U125" i="5"/>
  <c r="Q125" i="5"/>
  <c r="M125" i="5"/>
  <c r="I125" i="5"/>
  <c r="AD116" i="5"/>
  <c r="Z116" i="5"/>
  <c r="V116" i="5"/>
  <c r="R116" i="5"/>
  <c r="N116" i="5"/>
  <c r="J116" i="5"/>
  <c r="AE107" i="5"/>
  <c r="AA107" i="5"/>
  <c r="W107" i="5"/>
  <c r="S107" i="5"/>
  <c r="O107" i="5"/>
  <c r="K107" i="5"/>
  <c r="G107" i="5"/>
  <c r="X125" i="5"/>
  <c r="H125" i="5"/>
  <c r="U116" i="5"/>
  <c r="R107" i="5"/>
  <c r="AC98" i="5"/>
  <c r="Y98" i="5"/>
  <c r="U98" i="5"/>
  <c r="Q98" i="5"/>
  <c r="M98" i="5"/>
  <c r="I98" i="5"/>
  <c r="AD89" i="5"/>
  <c r="Z89" i="5"/>
  <c r="V89" i="5"/>
  <c r="R89" i="5"/>
  <c r="N89" i="5"/>
  <c r="J89" i="5"/>
  <c r="T125" i="5"/>
  <c r="Q116" i="5"/>
  <c r="AD107" i="5"/>
  <c r="N107" i="5"/>
  <c r="AB98" i="5"/>
  <c r="X98" i="5"/>
  <c r="T98" i="5"/>
  <c r="P98" i="5"/>
  <c r="L98" i="5"/>
  <c r="H98" i="5"/>
  <c r="AC89" i="5"/>
  <c r="Y89" i="5"/>
  <c r="U89" i="5"/>
  <c r="Q89" i="5"/>
  <c r="M89" i="5"/>
  <c r="I89" i="5"/>
  <c r="P125" i="5"/>
  <c r="AC116" i="5"/>
  <c r="M116" i="5"/>
  <c r="Z107" i="5"/>
  <c r="J107" i="5"/>
  <c r="AE98" i="5"/>
  <c r="AA98" i="5"/>
  <c r="W98" i="5"/>
  <c r="S98" i="5"/>
  <c r="O98" i="5"/>
  <c r="K98" i="5"/>
  <c r="G98" i="5"/>
  <c r="AB89" i="5"/>
  <c r="X89" i="5"/>
  <c r="T89" i="5"/>
  <c r="P89" i="5"/>
  <c r="L89" i="5"/>
  <c r="H89" i="5"/>
  <c r="V98" i="5"/>
  <c r="S89" i="5"/>
  <c r="I116" i="5"/>
  <c r="AD98" i="5"/>
  <c r="K89" i="5"/>
  <c r="Z98" i="5"/>
  <c r="W89" i="5"/>
  <c r="G89" i="5"/>
  <c r="AB125" i="5"/>
  <c r="Y116" i="5"/>
  <c r="V107" i="5"/>
  <c r="R98" i="5"/>
  <c r="AE89" i="5"/>
  <c r="O89" i="5"/>
  <c r="L125" i="5"/>
  <c r="N98" i="5"/>
  <c r="AA89" i="5"/>
  <c r="J98" i="5"/>
  <c r="AB124" i="5"/>
  <c r="X124" i="5"/>
  <c r="T124" i="5"/>
  <c r="P124" i="5"/>
  <c r="L124" i="5"/>
  <c r="H124" i="5"/>
  <c r="AC115" i="5"/>
  <c r="Y115" i="5"/>
  <c r="U115" i="5"/>
  <c r="Q115" i="5"/>
  <c r="M115" i="5"/>
  <c r="I115" i="5"/>
  <c r="AD106" i="5"/>
  <c r="AE124" i="5"/>
  <c r="AA124" i="5"/>
  <c r="W124" i="5"/>
  <c r="S124" i="5"/>
  <c r="O124" i="5"/>
  <c r="K124" i="5"/>
  <c r="G124" i="5"/>
  <c r="AB115" i="5"/>
  <c r="X115" i="5"/>
  <c r="T115" i="5"/>
  <c r="P115" i="5"/>
  <c r="L115" i="5"/>
  <c r="H115" i="5"/>
  <c r="AC106" i="5"/>
  <c r="AD124" i="5"/>
  <c r="Z124" i="5"/>
  <c r="V124" i="5"/>
  <c r="R124" i="5"/>
  <c r="N124" i="5"/>
  <c r="J124" i="5"/>
  <c r="AE115" i="5"/>
  <c r="AA115" i="5"/>
  <c r="W115" i="5"/>
  <c r="S115" i="5"/>
  <c r="O115" i="5"/>
  <c r="K115" i="5"/>
  <c r="G115" i="5"/>
  <c r="AB106" i="5"/>
  <c r="X106" i="5"/>
  <c r="T106" i="5"/>
  <c r="Q124" i="5"/>
  <c r="AD115" i="5"/>
  <c r="N115" i="5"/>
  <c r="AA106" i="5"/>
  <c r="V106" i="5"/>
  <c r="Q106" i="5"/>
  <c r="M106" i="5"/>
  <c r="I106" i="5"/>
  <c r="AD97" i="5"/>
  <c r="Z97" i="5"/>
  <c r="V97" i="5"/>
  <c r="R97" i="5"/>
  <c r="N97" i="5"/>
  <c r="J97" i="5"/>
  <c r="AE88" i="5"/>
  <c r="AA88" i="5"/>
  <c r="W88" i="5"/>
  <c r="S88" i="5"/>
  <c r="AC124" i="5"/>
  <c r="M124" i="5"/>
  <c r="Z115" i="5"/>
  <c r="J115" i="5"/>
  <c r="Z106" i="5"/>
  <c r="U106" i="5"/>
  <c r="P106" i="5"/>
  <c r="L106" i="5"/>
  <c r="H106" i="5"/>
  <c r="AC97" i="5"/>
  <c r="Y97" i="5"/>
  <c r="U97" i="5"/>
  <c r="Q97" i="5"/>
  <c r="M97" i="5"/>
  <c r="I97" i="5"/>
  <c r="AD88" i="5"/>
  <c r="Z88" i="5"/>
  <c r="V88" i="5"/>
  <c r="R88" i="5"/>
  <c r="Y124" i="5"/>
  <c r="I124" i="5"/>
  <c r="V115" i="5"/>
  <c r="Y106" i="5"/>
  <c r="S106" i="5"/>
  <c r="O106" i="5"/>
  <c r="K106" i="5"/>
  <c r="G106" i="5"/>
  <c r="AB97" i="5"/>
  <c r="X97" i="5"/>
  <c r="T97" i="5"/>
  <c r="P97" i="5"/>
  <c r="L97" i="5"/>
  <c r="H97" i="5"/>
  <c r="AC88" i="5"/>
  <c r="Y88" i="5"/>
  <c r="U88" i="5"/>
  <c r="Q88" i="5"/>
  <c r="R106" i="5"/>
  <c r="AE97" i="5"/>
  <c r="O97" i="5"/>
  <c r="AB88" i="5"/>
  <c r="O88" i="5"/>
  <c r="K88" i="5"/>
  <c r="G88" i="5"/>
  <c r="AE106" i="5"/>
  <c r="W97" i="5"/>
  <c r="M88" i="5"/>
  <c r="R115" i="5"/>
  <c r="S97" i="5"/>
  <c r="P88" i="5"/>
  <c r="H88" i="5"/>
  <c r="N106" i="5"/>
  <c r="AA97" i="5"/>
  <c r="K97" i="5"/>
  <c r="X88" i="5"/>
  <c r="N88" i="5"/>
  <c r="J88" i="5"/>
  <c r="J106" i="5"/>
  <c r="G97" i="5"/>
  <c r="T88" i="5"/>
  <c r="I88" i="5"/>
  <c r="U124" i="5"/>
  <c r="W106" i="5"/>
  <c r="L88" i="5"/>
  <c r="AE128" i="5"/>
  <c r="AA128" i="5"/>
  <c r="W128" i="5"/>
  <c r="S128" i="5"/>
  <c r="O128" i="5"/>
  <c r="K128" i="5"/>
  <c r="G128" i="5"/>
  <c r="AC119" i="5"/>
  <c r="Y119" i="5"/>
  <c r="U119" i="5"/>
  <c r="Q119" i="5"/>
  <c r="M119" i="5"/>
  <c r="I119" i="5"/>
  <c r="AE110" i="5"/>
  <c r="AA110" i="5"/>
  <c r="W110" i="5"/>
  <c r="S110" i="5"/>
  <c r="O110" i="5"/>
  <c r="K110" i="5"/>
  <c r="G110" i="5"/>
  <c r="AC101" i="5"/>
  <c r="Y101" i="5"/>
  <c r="U101" i="5"/>
  <c r="Q101" i="5"/>
  <c r="M101" i="5"/>
  <c r="I101" i="5"/>
  <c r="AE92" i="5"/>
  <c r="AA92" i="5"/>
  <c r="W92" i="5"/>
  <c r="S92" i="5"/>
  <c r="O92" i="5"/>
  <c r="K92" i="5"/>
  <c r="G92" i="5"/>
  <c r="AD128" i="5"/>
  <c r="Z128" i="5"/>
  <c r="V128" i="5"/>
  <c r="R128" i="5"/>
  <c r="N128" i="5"/>
  <c r="J128" i="5"/>
  <c r="AB119" i="5"/>
  <c r="X119" i="5"/>
  <c r="T119" i="5"/>
  <c r="P119" i="5"/>
  <c r="L119" i="5"/>
  <c r="H119" i="5"/>
  <c r="AD110" i="5"/>
  <c r="Z110" i="5"/>
  <c r="V110" i="5"/>
  <c r="R110" i="5"/>
  <c r="N110" i="5"/>
  <c r="J110" i="5"/>
  <c r="AB101" i="5"/>
  <c r="X101" i="5"/>
  <c r="T101" i="5"/>
  <c r="P101" i="5"/>
  <c r="L101" i="5"/>
  <c r="H101" i="5"/>
  <c r="AD92" i="5"/>
  <c r="Z92" i="5"/>
  <c r="V92" i="5"/>
  <c r="R92" i="5"/>
  <c r="N92" i="5"/>
  <c r="J92" i="5"/>
  <c r="J93" i="5" s="1"/>
  <c r="AC128" i="5"/>
  <c r="Y128" i="5"/>
  <c r="U128" i="5"/>
  <c r="Q128" i="5"/>
  <c r="M128" i="5"/>
  <c r="I128" i="5"/>
  <c r="AE119" i="5"/>
  <c r="AA119" i="5"/>
  <c r="W119" i="5"/>
  <c r="S119" i="5"/>
  <c r="O119" i="5"/>
  <c r="K119" i="5"/>
  <c r="G119" i="5"/>
  <c r="AC110" i="5"/>
  <c r="Y110" i="5"/>
  <c r="U110" i="5"/>
  <c r="Q110" i="5"/>
  <c r="M110" i="5"/>
  <c r="I110" i="5"/>
  <c r="AE101" i="5"/>
  <c r="AA101" i="5"/>
  <c r="W101" i="5"/>
  <c r="X128" i="5"/>
  <c r="H128" i="5"/>
  <c r="V119" i="5"/>
  <c r="P110" i="5"/>
  <c r="AD101" i="5"/>
  <c r="R101" i="5"/>
  <c r="J101" i="5"/>
  <c r="AB92" i="5"/>
  <c r="T92" i="5"/>
  <c r="L92" i="5"/>
  <c r="T128" i="5"/>
  <c r="R119" i="5"/>
  <c r="AB110" i="5"/>
  <c r="L110" i="5"/>
  <c r="Z101" i="5"/>
  <c r="O101" i="5"/>
  <c r="G101" i="5"/>
  <c r="Y92" i="5"/>
  <c r="Q92" i="5"/>
  <c r="I92" i="5"/>
  <c r="P128" i="5"/>
  <c r="AD119" i="5"/>
  <c r="N119" i="5"/>
  <c r="X110" i="5"/>
  <c r="H110" i="5"/>
  <c r="V101" i="5"/>
  <c r="N101" i="5"/>
  <c r="X92" i="5"/>
  <c r="P92" i="5"/>
  <c r="H92" i="5"/>
  <c r="AB128" i="5"/>
  <c r="L128" i="5"/>
  <c r="Z119" i="5"/>
  <c r="J119" i="5"/>
  <c r="T110" i="5"/>
  <c r="S101" i="5"/>
  <c r="K101" i="5"/>
  <c r="AC92" i="5"/>
  <c r="U92" i="5"/>
  <c r="M92" i="5"/>
  <c r="AR86" i="13"/>
  <c r="AR79" i="13"/>
  <c r="AR84" i="13"/>
  <c r="AR77" i="13"/>
  <c r="AR85" i="13"/>
  <c r="U76" i="13"/>
  <c r="U90" i="13"/>
  <c r="U83" i="13"/>
  <c r="U97" i="13"/>
  <c r="AH125" i="5"/>
  <c r="AH116" i="5"/>
  <c r="AH107" i="5"/>
  <c r="AI98" i="5"/>
  <c r="AH89" i="5"/>
  <c r="AG125" i="5"/>
  <c r="AG116" i="5"/>
  <c r="AG107" i="5"/>
  <c r="AH98" i="5"/>
  <c r="AG89" i="5"/>
  <c r="AJ125" i="5"/>
  <c r="AF116" i="5"/>
  <c r="AJ107" i="5"/>
  <c r="AF89" i="5"/>
  <c r="AF125" i="5"/>
  <c r="AI107" i="5"/>
  <c r="AJ98" i="5"/>
  <c r="AJ116" i="5"/>
  <c r="AF107" i="5"/>
  <c r="AG98" i="5"/>
  <c r="AJ89" i="5"/>
  <c r="AI125" i="5"/>
  <c r="AI89" i="5"/>
  <c r="AI116" i="5"/>
  <c r="AF98" i="5"/>
  <c r="AG128" i="5"/>
  <c r="AJ119" i="5"/>
  <c r="AF119" i="5"/>
  <c r="AJ110" i="5"/>
  <c r="AF110" i="5"/>
  <c r="AH101" i="5"/>
  <c r="AG92" i="5"/>
  <c r="AJ128" i="5"/>
  <c r="AF128" i="5"/>
  <c r="AI119" i="5"/>
  <c r="AI110" i="5"/>
  <c r="AG101" i="5"/>
  <c r="AJ92" i="5"/>
  <c r="AF92" i="5"/>
  <c r="AI128" i="5"/>
  <c r="AH119" i="5"/>
  <c r="AH110" i="5"/>
  <c r="AF101" i="5"/>
  <c r="AH92" i="5"/>
  <c r="AH128" i="5"/>
  <c r="AJ101" i="5"/>
  <c r="AI101" i="5"/>
  <c r="AG119" i="5"/>
  <c r="AI92" i="5"/>
  <c r="AG110" i="5"/>
  <c r="AJ124" i="5"/>
  <c r="AF124" i="5"/>
  <c r="AJ115" i="5"/>
  <c r="AF115" i="5"/>
  <c r="AI106" i="5"/>
  <c r="AJ97" i="5"/>
  <c r="AF97" i="5"/>
  <c r="AH88" i="5"/>
  <c r="AI124" i="5"/>
  <c r="AI115" i="5"/>
  <c r="AH106" i="5"/>
  <c r="AI97" i="5"/>
  <c r="AG88" i="5"/>
  <c r="AH124" i="5"/>
  <c r="AG106" i="5"/>
  <c r="AH97" i="5"/>
  <c r="AJ88" i="5"/>
  <c r="AF106" i="5"/>
  <c r="AG97" i="5"/>
  <c r="AF88" i="5"/>
  <c r="AH115" i="5"/>
  <c r="AG124" i="5"/>
  <c r="AG115" i="5"/>
  <c r="AI88" i="5"/>
  <c r="AJ106" i="5"/>
  <c r="AI127" i="5"/>
  <c r="AJ118" i="5"/>
  <c r="AF118" i="5"/>
  <c r="AH109" i="5"/>
  <c r="AG100" i="5"/>
  <c r="AJ91" i="5"/>
  <c r="AF91" i="5"/>
  <c r="AH127" i="5"/>
  <c r="AI118" i="5"/>
  <c r="AG109" i="5"/>
  <c r="AJ100" i="5"/>
  <c r="AF100" i="5"/>
  <c r="AI91" i="5"/>
  <c r="AG127" i="5"/>
  <c r="AH118" i="5"/>
  <c r="AF109" i="5"/>
  <c r="AI100" i="5"/>
  <c r="AF127" i="5"/>
  <c r="AJ109" i="5"/>
  <c r="AI109" i="5"/>
  <c r="AH91" i="5"/>
  <c r="AG118" i="5"/>
  <c r="AH100" i="5"/>
  <c r="AG91" i="5"/>
  <c r="AJ127" i="5"/>
  <c r="AJ126" i="5"/>
  <c r="AF126" i="5"/>
  <c r="AI117" i="5"/>
  <c r="AI108" i="5"/>
  <c r="AH99" i="5"/>
  <c r="AI90" i="5"/>
  <c r="AI126" i="5"/>
  <c r="AH117" i="5"/>
  <c r="AH108" i="5"/>
  <c r="AG99" i="5"/>
  <c r="AH90" i="5"/>
  <c r="AG117" i="5"/>
  <c r="AF99" i="5"/>
  <c r="AG90" i="5"/>
  <c r="AJ117" i="5"/>
  <c r="AF108" i="5"/>
  <c r="AI99" i="5"/>
  <c r="AH126" i="5"/>
  <c r="AF117" i="5"/>
  <c r="AJ90" i="5"/>
  <c r="AG126" i="5"/>
  <c r="AJ108" i="5"/>
  <c r="AF90" i="5"/>
  <c r="AJ99" i="5"/>
  <c r="AG108" i="5"/>
  <c r="AG123" i="5"/>
  <c r="AG114" i="5"/>
  <c r="AH105" i="5"/>
  <c r="AG96" i="5"/>
  <c r="AI87" i="5"/>
  <c r="AJ123" i="5"/>
  <c r="AF123" i="5"/>
  <c r="AJ114" i="5"/>
  <c r="AF114" i="5"/>
  <c r="AG105" i="5"/>
  <c r="AJ96" i="5"/>
  <c r="AF96" i="5"/>
  <c r="AH87" i="5"/>
  <c r="AI114" i="5"/>
  <c r="AF105" i="5"/>
  <c r="AG87" i="5"/>
  <c r="AH123" i="5"/>
  <c r="AJ87" i="5"/>
  <c r="AJ105" i="5"/>
  <c r="AI96" i="5"/>
  <c r="AF87" i="5"/>
  <c r="AI105" i="5"/>
  <c r="AH96" i="5"/>
  <c r="AI123" i="5"/>
  <c r="AH114" i="5"/>
  <c r="R118" i="4"/>
  <c r="B16" i="11"/>
  <c r="B18" i="5" s="1"/>
  <c r="B39" i="5"/>
  <c r="B54" i="5" s="1"/>
  <c r="B38" i="5"/>
  <c r="B53" i="5" s="1"/>
  <c r="B17" i="5"/>
  <c r="B26" i="5"/>
  <c r="I93" i="5" l="1"/>
  <c r="AS8" i="13"/>
  <c r="AS7" i="13"/>
  <c r="AS9" i="13"/>
  <c r="AS5" i="13"/>
  <c r="AS6" i="13"/>
  <c r="AR99" i="13"/>
  <c r="AS99" i="13" s="1"/>
  <c r="AR92" i="13"/>
  <c r="AS92" i="13" s="1"/>
  <c r="AR94" i="13"/>
  <c r="AR100" i="13"/>
  <c r="AS100" i="13" s="1"/>
  <c r="AR87" i="13"/>
  <c r="AS87" i="13" s="1"/>
  <c r="AR78" i="13"/>
  <c r="AS78" i="13" s="1"/>
  <c r="AR101" i="13"/>
  <c r="AR91" i="13"/>
  <c r="AS91" i="13" s="1"/>
  <c r="AR98" i="13"/>
  <c r="AS98" i="13" s="1"/>
  <c r="AR93" i="13"/>
  <c r="AS93" i="13" s="1"/>
  <c r="AR80" i="13"/>
  <c r="AS80" i="13" s="1"/>
  <c r="AS86" i="13"/>
  <c r="AS79" i="13"/>
  <c r="AS85" i="13"/>
  <c r="AS77" i="13"/>
  <c r="AS94" i="13"/>
  <c r="AS84" i="13"/>
  <c r="AS101" i="13"/>
  <c r="V76" i="13"/>
  <c r="F98" i="5"/>
  <c r="F90" i="5"/>
  <c r="F117" i="5"/>
  <c r="F88" i="5"/>
  <c r="F114" i="5"/>
  <c r="F107" i="5"/>
  <c r="F126" i="5"/>
  <c r="F124" i="5"/>
  <c r="F101" i="5"/>
  <c r="F125" i="5"/>
  <c r="F127" i="5"/>
  <c r="F92" i="5"/>
  <c r="F119" i="5"/>
  <c r="F89" i="5"/>
  <c r="F105" i="5"/>
  <c r="F96" i="5"/>
  <c r="F91" i="5"/>
  <c r="F118" i="5"/>
  <c r="F106" i="5"/>
  <c r="F115" i="5"/>
  <c r="F128" i="5"/>
  <c r="F87" i="5"/>
  <c r="F123" i="5"/>
  <c r="F108" i="5"/>
  <c r="F99" i="5"/>
  <c r="F109" i="5"/>
  <c r="F100" i="5"/>
  <c r="F97" i="5"/>
  <c r="F110" i="5"/>
  <c r="F116" i="5"/>
  <c r="V97" i="13"/>
  <c r="V90" i="13"/>
  <c r="V83" i="13"/>
  <c r="B17" i="11"/>
  <c r="B18" i="11" s="1"/>
  <c r="B27" i="5"/>
  <c r="S118" i="4"/>
  <c r="B19" i="5"/>
  <c r="B28" i="5"/>
  <c r="T117" i="7"/>
  <c r="S118" i="7"/>
  <c r="U117" i="7"/>
  <c r="D117" i="7"/>
  <c r="C117" i="7"/>
  <c r="W76" i="13" l="1"/>
  <c r="W97" i="13"/>
  <c r="W83" i="13"/>
  <c r="W90" i="13"/>
  <c r="B40" i="5"/>
  <c r="B55" i="5" s="1"/>
  <c r="B41" i="5"/>
  <c r="B56" i="5" s="1"/>
  <c r="T118" i="4"/>
  <c r="B19" i="11"/>
  <c r="B29" i="5"/>
  <c r="B20" i="5"/>
  <c r="B118" i="7"/>
  <c r="F174" i="4"/>
  <c r="G174" i="4" s="1"/>
  <c r="H174" i="4" s="1"/>
  <c r="I174" i="4" s="1"/>
  <c r="J174" i="4" s="1"/>
  <c r="K174" i="4" s="1"/>
  <c r="L174" i="4" s="1"/>
  <c r="M174" i="4" s="1"/>
  <c r="N174" i="4" s="1"/>
  <c r="O174" i="4" s="1"/>
  <c r="P174" i="4" s="1"/>
  <c r="Q174" i="4" s="1"/>
  <c r="R174" i="4" s="1"/>
  <c r="S174" i="4" s="1"/>
  <c r="T174" i="4" s="1"/>
  <c r="U174" i="4" s="1"/>
  <c r="V174" i="4" s="1"/>
  <c r="W174" i="4" s="1"/>
  <c r="X174" i="4" s="1"/>
  <c r="Y174" i="4" s="1"/>
  <c r="Z174" i="4" s="1"/>
  <c r="AA174" i="4" s="1"/>
  <c r="AB174" i="4" s="1"/>
  <c r="AC174" i="4" s="1"/>
  <c r="AD174" i="4" s="1"/>
  <c r="AE174" i="4" s="1"/>
  <c r="F165" i="4"/>
  <c r="G165" i="4" s="1"/>
  <c r="H165" i="4" s="1"/>
  <c r="I165" i="4" s="1"/>
  <c r="J165" i="4" s="1"/>
  <c r="K165" i="4" s="1"/>
  <c r="L165" i="4" s="1"/>
  <c r="M165" i="4" s="1"/>
  <c r="N165" i="4" s="1"/>
  <c r="O165" i="4" s="1"/>
  <c r="P165" i="4" s="1"/>
  <c r="Q165" i="4" s="1"/>
  <c r="R165" i="4" s="1"/>
  <c r="S165" i="4" s="1"/>
  <c r="T165" i="4" s="1"/>
  <c r="U165" i="4" s="1"/>
  <c r="V165" i="4" s="1"/>
  <c r="W165" i="4" s="1"/>
  <c r="X165" i="4" s="1"/>
  <c r="Y165" i="4" s="1"/>
  <c r="Z165" i="4" s="1"/>
  <c r="AA165" i="4" s="1"/>
  <c r="AB165" i="4" s="1"/>
  <c r="AC165" i="4" s="1"/>
  <c r="AD165" i="4" s="1"/>
  <c r="AE165" i="4" s="1"/>
  <c r="F60" i="4"/>
  <c r="G60" i="4" s="1"/>
  <c r="H60" i="4" s="1"/>
  <c r="I60" i="4" s="1"/>
  <c r="J60" i="4" s="1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F51" i="4"/>
  <c r="G51" i="4" s="1"/>
  <c r="H51" i="4" s="1"/>
  <c r="I51" i="4" s="1"/>
  <c r="J51" i="4" s="1"/>
  <c r="K51" i="4" s="1"/>
  <c r="L51" i="4" s="1"/>
  <c r="M51" i="4" s="1"/>
  <c r="N51" i="4" s="1"/>
  <c r="O51" i="4" s="1"/>
  <c r="P51" i="4" s="1"/>
  <c r="Q51" i="4" s="1"/>
  <c r="R51" i="4" s="1"/>
  <c r="S51" i="4" s="1"/>
  <c r="T51" i="4" s="1"/>
  <c r="U51" i="4" s="1"/>
  <c r="V51" i="4" s="1"/>
  <c r="W51" i="4" s="1"/>
  <c r="X51" i="4" s="1"/>
  <c r="Y51" i="4" s="1"/>
  <c r="Z51" i="4" s="1"/>
  <c r="AA51" i="4" s="1"/>
  <c r="AB51" i="4" s="1"/>
  <c r="AC51" i="4" s="1"/>
  <c r="AD51" i="4" s="1"/>
  <c r="AE51" i="4" s="1"/>
  <c r="G194" i="4"/>
  <c r="F156" i="4"/>
  <c r="G156" i="4" s="1"/>
  <c r="H156" i="4" s="1"/>
  <c r="I156" i="4" s="1"/>
  <c r="J156" i="4" s="1"/>
  <c r="K156" i="4" s="1"/>
  <c r="L156" i="4" s="1"/>
  <c r="M156" i="4" s="1"/>
  <c r="N156" i="4" s="1"/>
  <c r="O156" i="4" s="1"/>
  <c r="P156" i="4" s="1"/>
  <c r="Q156" i="4" s="1"/>
  <c r="R156" i="4" s="1"/>
  <c r="S156" i="4" s="1"/>
  <c r="T156" i="4" s="1"/>
  <c r="U156" i="4" s="1"/>
  <c r="V156" i="4" s="1"/>
  <c r="W156" i="4" s="1"/>
  <c r="X156" i="4" s="1"/>
  <c r="Y156" i="4" s="1"/>
  <c r="Z156" i="4" s="1"/>
  <c r="AA156" i="4" s="1"/>
  <c r="AB156" i="4" s="1"/>
  <c r="AC156" i="4" s="1"/>
  <c r="AD156" i="4" s="1"/>
  <c r="AE156" i="4" s="1"/>
  <c r="F80" i="4"/>
  <c r="F42" i="4"/>
  <c r="X76" i="13" l="1"/>
  <c r="X97" i="13"/>
  <c r="X90" i="13"/>
  <c r="X83" i="13"/>
  <c r="H194" i="4"/>
  <c r="B42" i="5"/>
  <c r="B57" i="5" s="1"/>
  <c r="U118" i="4"/>
  <c r="G80" i="4"/>
  <c r="T6" i="13"/>
  <c r="G42" i="4"/>
  <c r="B20" i="11"/>
  <c r="B21" i="5"/>
  <c r="B30" i="5"/>
  <c r="Y76" i="13" l="1"/>
  <c r="Y90" i="13"/>
  <c r="Y97" i="13"/>
  <c r="Y83" i="13"/>
  <c r="U5" i="13"/>
  <c r="U9" i="13"/>
  <c r="B43" i="5"/>
  <c r="B58" i="5" s="1"/>
  <c r="I194" i="4"/>
  <c r="T9" i="13"/>
  <c r="V118" i="4"/>
  <c r="H80" i="4"/>
  <c r="H42" i="4"/>
  <c r="T7" i="13"/>
  <c r="B31" i="5"/>
  <c r="B22" i="5"/>
  <c r="G12" i="6"/>
  <c r="B15" i="7"/>
  <c r="Z76" i="13" l="1"/>
  <c r="Z97" i="13"/>
  <c r="Z90" i="13"/>
  <c r="Z83" i="13"/>
  <c r="U6" i="13"/>
  <c r="J194" i="4"/>
  <c r="V5" i="13"/>
  <c r="U7" i="13"/>
  <c r="B44" i="5"/>
  <c r="B59" i="5" s="1"/>
  <c r="V9" i="13"/>
  <c r="U8" i="13"/>
  <c r="T5" i="13"/>
  <c r="W118" i="4"/>
  <c r="T8" i="13"/>
  <c r="I80" i="4"/>
  <c r="I42" i="4"/>
  <c r="B16" i="7"/>
  <c r="B119" i="7"/>
  <c r="AA76" i="13" l="1"/>
  <c r="AA90" i="13"/>
  <c r="AA83" i="13"/>
  <c r="AA97" i="13"/>
  <c r="B45" i="5"/>
  <c r="B60" i="5" s="1"/>
  <c r="V6" i="13"/>
  <c r="V7" i="13"/>
  <c r="W5" i="13"/>
  <c r="K194" i="4"/>
  <c r="X118" i="4"/>
  <c r="J42" i="4"/>
  <c r="J80" i="4"/>
  <c r="B17" i="7"/>
  <c r="B120" i="7"/>
  <c r="I9" i="4"/>
  <c r="A9" i="4" s="1"/>
  <c r="I8" i="4"/>
  <c r="A8" i="4" s="1"/>
  <c r="D37" i="5"/>
  <c r="D52" i="5" s="1"/>
  <c r="C37" i="5"/>
  <c r="C52" i="5" s="1"/>
  <c r="AB76" i="13" l="1"/>
  <c r="AB97" i="13"/>
  <c r="AB83" i="13"/>
  <c r="AB90" i="13"/>
  <c r="V8" i="13"/>
  <c r="L194" i="4"/>
  <c r="W9" i="13"/>
  <c r="W7" i="13"/>
  <c r="B46" i="5"/>
  <c r="B61" i="5" s="1"/>
  <c r="W6" i="13"/>
  <c r="Y118" i="4"/>
  <c r="K42" i="4"/>
  <c r="K80" i="4"/>
  <c r="G13" i="6"/>
  <c r="B18" i="7"/>
  <c r="B121" i="7"/>
  <c r="A1" i="8"/>
  <c r="AC76" i="13" l="1"/>
  <c r="AC83" i="13"/>
  <c r="AC90" i="13"/>
  <c r="AC97" i="13"/>
  <c r="W8" i="13"/>
  <c r="X7" i="13"/>
  <c r="X6" i="13"/>
  <c r="Y5" i="13"/>
  <c r="X5" i="13"/>
  <c r="X9" i="13"/>
  <c r="B47" i="5"/>
  <c r="B62" i="5" s="1"/>
  <c r="M194" i="4"/>
  <c r="Z118" i="4"/>
  <c r="L80" i="4"/>
  <c r="L42" i="4"/>
  <c r="B19" i="7"/>
  <c r="B122" i="7"/>
  <c r="S15" i="7"/>
  <c r="A1" i="7"/>
  <c r="A1" i="6"/>
  <c r="B94" i="5"/>
  <c r="C101" i="5"/>
  <c r="C100" i="5"/>
  <c r="C99" i="5"/>
  <c r="C98" i="5"/>
  <c r="C97" i="5"/>
  <c r="C96" i="5"/>
  <c r="B121" i="5"/>
  <c r="C128" i="5"/>
  <c r="C127" i="5"/>
  <c r="C126" i="5"/>
  <c r="C125" i="5"/>
  <c r="C124" i="5"/>
  <c r="C123" i="5"/>
  <c r="B85" i="5"/>
  <c r="C92" i="5"/>
  <c r="C91" i="5"/>
  <c r="C90" i="5"/>
  <c r="C89" i="5"/>
  <c r="C88" i="5"/>
  <c r="C87" i="5"/>
  <c r="B112" i="5"/>
  <c r="C119" i="5"/>
  <c r="C118" i="5"/>
  <c r="C117" i="5"/>
  <c r="C116" i="5"/>
  <c r="C115" i="5"/>
  <c r="C114" i="5"/>
  <c r="B103" i="5"/>
  <c r="C110" i="5"/>
  <c r="C109" i="5"/>
  <c r="C108" i="5"/>
  <c r="C107" i="5"/>
  <c r="C106" i="5"/>
  <c r="C105" i="5"/>
  <c r="E66" i="5"/>
  <c r="C81" i="5"/>
  <c r="C80" i="5"/>
  <c r="C79" i="5"/>
  <c r="C78" i="5"/>
  <c r="C77" i="5"/>
  <c r="C76" i="5"/>
  <c r="B74" i="5"/>
  <c r="C72" i="5"/>
  <c r="C71" i="5"/>
  <c r="C70" i="5"/>
  <c r="C69" i="5"/>
  <c r="C68" i="5"/>
  <c r="C67" i="5"/>
  <c r="F51" i="5"/>
  <c r="B13" i="6"/>
  <c r="G14" i="6"/>
  <c r="E36" i="5"/>
  <c r="E51" i="5" s="1"/>
  <c r="C36" i="5"/>
  <c r="C51" i="5" s="1"/>
  <c r="B36" i="5"/>
  <c r="B51" i="5" s="1"/>
  <c r="B12" i="6"/>
  <c r="B9" i="4"/>
  <c r="A1" i="5"/>
  <c r="F29" i="4"/>
  <c r="AD76" i="13" l="1"/>
  <c r="AD90" i="13"/>
  <c r="AD97" i="13"/>
  <c r="AD83" i="13"/>
  <c r="X8" i="13"/>
  <c r="B48" i="5"/>
  <c r="B63" i="5" s="1"/>
  <c r="N194" i="4"/>
  <c r="Y6" i="13"/>
  <c r="Y9" i="13"/>
  <c r="Z9" i="13"/>
  <c r="Y7" i="13"/>
  <c r="Y8" i="13"/>
  <c r="AA118" i="4"/>
  <c r="M80" i="4"/>
  <c r="M42" i="4"/>
  <c r="G29" i="4"/>
  <c r="G7" i="5"/>
  <c r="B37" i="5"/>
  <c r="B52" i="5" s="1"/>
  <c r="B14" i="6"/>
  <c r="B16" i="8"/>
  <c r="B15" i="8"/>
  <c r="B14" i="8"/>
  <c r="S16" i="7"/>
  <c r="S119" i="7"/>
  <c r="B20" i="7"/>
  <c r="B123" i="7"/>
  <c r="B124" i="5"/>
  <c r="C7" i="8" a="1"/>
  <c r="C7" i="8" s="1"/>
  <c r="C13" i="8" s="1"/>
  <c r="B114" i="5"/>
  <c r="B96" i="5"/>
  <c r="B123" i="5"/>
  <c r="B68" i="5"/>
  <c r="B76" i="5"/>
  <c r="B87" i="5"/>
  <c r="B67" i="5"/>
  <c r="B105" i="5"/>
  <c r="B88" i="5"/>
  <c r="B77" i="5"/>
  <c r="B115" i="5"/>
  <c r="B106" i="5"/>
  <c r="B97" i="5"/>
  <c r="C7" i="7" a="1"/>
  <c r="C7" i="7" s="1"/>
  <c r="B8" i="5"/>
  <c r="B9" i="5"/>
  <c r="AE76" i="13" l="1"/>
  <c r="AE83" i="13"/>
  <c r="AE97" i="13"/>
  <c r="AE90" i="13"/>
  <c r="H29" i="4"/>
  <c r="I29" i="4" s="1"/>
  <c r="Z7" i="13"/>
  <c r="Z8" i="13"/>
  <c r="O194" i="4"/>
  <c r="Z5" i="13"/>
  <c r="AA5" i="13"/>
  <c r="Z6" i="13"/>
  <c r="AB118" i="4"/>
  <c r="H7" i="5"/>
  <c r="N42" i="4"/>
  <c r="N80" i="4"/>
  <c r="G16" i="5"/>
  <c r="G25" i="5"/>
  <c r="I7" i="5"/>
  <c r="B24" i="8"/>
  <c r="B26" i="8"/>
  <c r="B25" i="8"/>
  <c r="S17" i="7"/>
  <c r="S120" i="7"/>
  <c r="B21" i="7"/>
  <c r="B124" i="7"/>
  <c r="D7" i="8"/>
  <c r="D13" i="8" s="1"/>
  <c r="F7" i="8"/>
  <c r="F13" i="8" s="1"/>
  <c r="O7" i="8"/>
  <c r="O13" i="8" s="1"/>
  <c r="K7" i="8"/>
  <c r="K13" i="8" s="1"/>
  <c r="Q7" i="8"/>
  <c r="Q13" i="8" s="1"/>
  <c r="N7" i="8"/>
  <c r="N13" i="8" s="1"/>
  <c r="I7" i="8"/>
  <c r="I13" i="8" s="1"/>
  <c r="H7" i="8"/>
  <c r="H13" i="8" s="1"/>
  <c r="E7" i="8"/>
  <c r="E13" i="8" s="1"/>
  <c r="G7" i="8"/>
  <c r="G13" i="8" s="1"/>
  <c r="P7" i="8"/>
  <c r="P13" i="8" s="1"/>
  <c r="M7" i="8"/>
  <c r="M13" i="8" s="1"/>
  <c r="L7" i="8"/>
  <c r="L13" i="8" s="1"/>
  <c r="J7" i="8"/>
  <c r="J13" i="8" s="1"/>
  <c r="T13" i="7"/>
  <c r="Q7" i="7"/>
  <c r="J7" i="7"/>
  <c r="P7" i="7"/>
  <c r="G7" i="7"/>
  <c r="D7" i="7"/>
  <c r="E7" i="7"/>
  <c r="F7" i="7"/>
  <c r="C13" i="7"/>
  <c r="K7" i="7"/>
  <c r="H7" i="7"/>
  <c r="I7" i="7"/>
  <c r="N7" i="7"/>
  <c r="O7" i="7"/>
  <c r="L7" i="7"/>
  <c r="M7" i="7"/>
  <c r="G122" i="5"/>
  <c r="G95" i="5"/>
  <c r="G86" i="5"/>
  <c r="G113" i="5"/>
  <c r="G104" i="5"/>
  <c r="G75" i="5"/>
  <c r="G76" i="5" s="1"/>
  <c r="G51" i="5"/>
  <c r="G66" i="5"/>
  <c r="G36" i="5"/>
  <c r="AF76" i="13" l="1"/>
  <c r="G60" i="5"/>
  <c r="G63" i="5"/>
  <c r="G56" i="5"/>
  <c r="G59" i="5"/>
  <c r="G62" i="5"/>
  <c r="G61" i="5"/>
  <c r="G55" i="5"/>
  <c r="G58" i="5"/>
  <c r="G57" i="5"/>
  <c r="G54" i="5"/>
  <c r="AF90" i="13"/>
  <c r="AF83" i="13"/>
  <c r="AF97" i="13"/>
  <c r="AA7" i="13"/>
  <c r="AB5" i="13"/>
  <c r="AA6" i="13"/>
  <c r="AA9" i="13"/>
  <c r="P194" i="4"/>
  <c r="I113" i="5"/>
  <c r="H104" i="5"/>
  <c r="H86" i="5"/>
  <c r="H51" i="5"/>
  <c r="H36" i="5"/>
  <c r="H75" i="5"/>
  <c r="H113" i="5"/>
  <c r="H16" i="5"/>
  <c r="AC118" i="4"/>
  <c r="H66" i="5"/>
  <c r="H95" i="5"/>
  <c r="H25" i="5"/>
  <c r="H122" i="5"/>
  <c r="O42" i="4"/>
  <c r="O80" i="4"/>
  <c r="I66" i="5"/>
  <c r="I51" i="5"/>
  <c r="I104" i="5"/>
  <c r="I25" i="5"/>
  <c r="I16" i="5"/>
  <c r="I75" i="5"/>
  <c r="I78" i="5" s="1"/>
  <c r="I122" i="5"/>
  <c r="I86" i="5"/>
  <c r="J29" i="4"/>
  <c r="J7" i="5"/>
  <c r="I36" i="5"/>
  <c r="I95" i="5"/>
  <c r="D26" i="8"/>
  <c r="C25" i="8"/>
  <c r="C26" i="8"/>
  <c r="C24" i="8"/>
  <c r="G53" i="5"/>
  <c r="G47" i="5"/>
  <c r="G45" i="5"/>
  <c r="G43" i="5"/>
  <c r="G41" i="5"/>
  <c r="G39" i="5"/>
  <c r="G48" i="5"/>
  <c r="G46" i="5"/>
  <c r="G44" i="5"/>
  <c r="G42" i="5"/>
  <c r="G40" i="5"/>
  <c r="G38" i="5"/>
  <c r="D24" i="8"/>
  <c r="D25" i="8"/>
  <c r="S18" i="7"/>
  <c r="S121" i="7"/>
  <c r="B22" i="7"/>
  <c r="B125" i="7"/>
  <c r="B107" i="5"/>
  <c r="B125" i="5"/>
  <c r="B98" i="5"/>
  <c r="B78" i="5"/>
  <c r="B89" i="5"/>
  <c r="B10" i="5"/>
  <c r="B116" i="5"/>
  <c r="B69" i="5"/>
  <c r="K13" i="7"/>
  <c r="AB13" i="7"/>
  <c r="F13" i="7"/>
  <c r="W13" i="7"/>
  <c r="J13" i="7"/>
  <c r="AA13" i="7"/>
  <c r="M13" i="7"/>
  <c r="AD13" i="7"/>
  <c r="N13" i="7"/>
  <c r="AE13" i="7"/>
  <c r="V13" i="7"/>
  <c r="AC13" i="7"/>
  <c r="Z13" i="7"/>
  <c r="U13" i="7"/>
  <c r="Q13" i="7"/>
  <c r="AH13" i="7"/>
  <c r="AF13" i="7"/>
  <c r="H13" i="7"/>
  <c r="Y13" i="7"/>
  <c r="X13" i="7"/>
  <c r="P13" i="7"/>
  <c r="AG13" i="7"/>
  <c r="D13" i="7"/>
  <c r="G37" i="5"/>
  <c r="E13" i="7"/>
  <c r="G13" i="7"/>
  <c r="O13" i="7"/>
  <c r="I13" i="7"/>
  <c r="L13" i="7"/>
  <c r="G52" i="5"/>
  <c r="G78" i="5"/>
  <c r="G80" i="5"/>
  <c r="G77" i="5"/>
  <c r="G79" i="5"/>
  <c r="G81" i="5"/>
  <c r="AG76" i="13" l="1"/>
  <c r="I62" i="5"/>
  <c r="I58" i="5"/>
  <c r="I61" i="5"/>
  <c r="I57" i="5"/>
  <c r="I63" i="5"/>
  <c r="I60" i="5"/>
  <c r="I59" i="5"/>
  <c r="I56" i="5"/>
  <c r="I55" i="5"/>
  <c r="H59" i="5"/>
  <c r="H62" i="5"/>
  <c r="H55" i="5"/>
  <c r="H58" i="5"/>
  <c r="H63" i="5"/>
  <c r="H57" i="5"/>
  <c r="H56" i="5"/>
  <c r="H54" i="5"/>
  <c r="H53" i="5"/>
  <c r="H61" i="5"/>
  <c r="H60" i="5"/>
  <c r="AG97" i="13"/>
  <c r="AG83" i="13"/>
  <c r="AG90" i="13"/>
  <c r="AA8" i="13"/>
  <c r="AB7" i="13"/>
  <c r="AB9" i="13"/>
  <c r="AB6" i="13"/>
  <c r="AC5" i="13"/>
  <c r="Q194" i="4"/>
  <c r="H81" i="5"/>
  <c r="H77" i="5"/>
  <c r="H39" i="5"/>
  <c r="H42" i="5"/>
  <c r="H52" i="5"/>
  <c r="H47" i="5"/>
  <c r="H79" i="5"/>
  <c r="H80" i="5"/>
  <c r="H37" i="5"/>
  <c r="H41" i="5"/>
  <c r="H38" i="5"/>
  <c r="H46" i="5"/>
  <c r="I52" i="5"/>
  <c r="H45" i="5"/>
  <c r="H44" i="5"/>
  <c r="H76" i="5"/>
  <c r="H78" i="5"/>
  <c r="H43" i="5"/>
  <c r="H40" i="5"/>
  <c r="H48" i="5"/>
  <c r="AD118" i="4"/>
  <c r="P42" i="4"/>
  <c r="P80" i="4"/>
  <c r="I44" i="5"/>
  <c r="I41" i="5"/>
  <c r="I43" i="5"/>
  <c r="I42" i="5"/>
  <c r="I79" i="5"/>
  <c r="I80" i="5"/>
  <c r="I37" i="5"/>
  <c r="I45" i="5"/>
  <c r="I46" i="5"/>
  <c r="I76" i="5"/>
  <c r="I81" i="5"/>
  <c r="I77" i="5"/>
  <c r="I47" i="5"/>
  <c r="I40" i="5"/>
  <c r="I48" i="5"/>
  <c r="J16" i="5"/>
  <c r="J25" i="5"/>
  <c r="J36" i="5"/>
  <c r="J122" i="5"/>
  <c r="J95" i="5"/>
  <c r="J51" i="5"/>
  <c r="J104" i="5"/>
  <c r="J86" i="5"/>
  <c r="J66" i="5"/>
  <c r="J113" i="5"/>
  <c r="J75" i="5"/>
  <c r="K29" i="4"/>
  <c r="K7" i="5"/>
  <c r="G67" i="5"/>
  <c r="G69" i="5"/>
  <c r="G71" i="5"/>
  <c r="G70" i="5"/>
  <c r="G72" i="5"/>
  <c r="G68" i="5"/>
  <c r="D123" i="7"/>
  <c r="T118" i="7"/>
  <c r="C120" i="7"/>
  <c r="C123" i="7"/>
  <c r="C119" i="7"/>
  <c r="T120" i="7"/>
  <c r="C122" i="7"/>
  <c r="C118" i="7"/>
  <c r="C121" i="7"/>
  <c r="C124" i="7"/>
  <c r="T119" i="7"/>
  <c r="T121" i="7"/>
  <c r="S19" i="7"/>
  <c r="S122" i="7"/>
  <c r="D124" i="7"/>
  <c r="B23" i="7"/>
  <c r="B126" i="7"/>
  <c r="D121" i="7"/>
  <c r="D119" i="7"/>
  <c r="D122" i="7"/>
  <c r="D120" i="7"/>
  <c r="D125" i="7"/>
  <c r="C125" i="7"/>
  <c r="D118" i="7"/>
  <c r="B70" i="5"/>
  <c r="B108" i="5"/>
  <c r="B90" i="5"/>
  <c r="B99" i="5"/>
  <c r="B79" i="5"/>
  <c r="B126" i="5"/>
  <c r="B11" i="5"/>
  <c r="B117" i="5"/>
  <c r="AH76" i="13" l="1"/>
  <c r="J57" i="5"/>
  <c r="J60" i="5"/>
  <c r="J61" i="5"/>
  <c r="J55" i="5"/>
  <c r="J63" i="5"/>
  <c r="J62" i="5"/>
  <c r="J56" i="5"/>
  <c r="J59" i="5"/>
  <c r="J58" i="5"/>
  <c r="G27" i="5"/>
  <c r="G30" i="5"/>
  <c r="AH90" i="13"/>
  <c r="AH83" i="13"/>
  <c r="AH97" i="13"/>
  <c r="AB8" i="13"/>
  <c r="AD5" i="13"/>
  <c r="AC9" i="13"/>
  <c r="R194" i="4"/>
  <c r="AC8" i="13"/>
  <c r="AC6" i="13"/>
  <c r="AC7" i="13"/>
  <c r="H20" i="5"/>
  <c r="H18" i="5"/>
  <c r="H17" i="5"/>
  <c r="H71" i="5"/>
  <c r="H67" i="5"/>
  <c r="H68" i="5"/>
  <c r="H69" i="5"/>
  <c r="H72" i="5"/>
  <c r="H19" i="5"/>
  <c r="H70" i="5"/>
  <c r="H22" i="5"/>
  <c r="H21" i="5"/>
  <c r="AE118" i="4"/>
  <c r="Q80" i="4"/>
  <c r="Q42" i="4"/>
  <c r="I70" i="5"/>
  <c r="I69" i="5"/>
  <c r="I20" i="5"/>
  <c r="I72" i="5"/>
  <c r="I18" i="5"/>
  <c r="I68" i="5"/>
  <c r="I71" i="5"/>
  <c r="I19" i="5"/>
  <c r="G26" i="5"/>
  <c r="I21" i="5"/>
  <c r="I22" i="5"/>
  <c r="I17" i="5"/>
  <c r="L29" i="4"/>
  <c r="L7" i="5"/>
  <c r="K16" i="5"/>
  <c r="K25" i="5"/>
  <c r="K95" i="5"/>
  <c r="K75" i="5"/>
  <c r="K36" i="5"/>
  <c r="K86" i="5"/>
  <c r="K104" i="5"/>
  <c r="K51" i="5"/>
  <c r="K122" i="5"/>
  <c r="K66" i="5"/>
  <c r="K113" i="5"/>
  <c r="J78" i="5"/>
  <c r="J79" i="5"/>
  <c r="J77" i="5"/>
  <c r="J81" i="5"/>
  <c r="J80" i="5"/>
  <c r="J52" i="5"/>
  <c r="J41" i="5"/>
  <c r="J42" i="5"/>
  <c r="J47" i="5"/>
  <c r="J39" i="5"/>
  <c r="J48" i="5"/>
  <c r="J38" i="5"/>
  <c r="J45" i="5"/>
  <c r="J40" i="5"/>
  <c r="J43" i="5"/>
  <c r="J37" i="5"/>
  <c r="J44" i="5"/>
  <c r="J46" i="5"/>
  <c r="G29" i="5"/>
  <c r="G31" i="5"/>
  <c r="G28" i="5"/>
  <c r="E123" i="7"/>
  <c r="E118" i="7"/>
  <c r="E124" i="7"/>
  <c r="E121" i="7"/>
  <c r="S20" i="7"/>
  <c r="S123" i="7"/>
  <c r="T122" i="7"/>
  <c r="E122" i="7"/>
  <c r="E120" i="7"/>
  <c r="E125" i="7"/>
  <c r="E119" i="7"/>
  <c r="C126" i="7"/>
  <c r="D126" i="7"/>
  <c r="B24" i="7"/>
  <c r="B127" i="7"/>
  <c r="B71" i="5"/>
  <c r="B109" i="5"/>
  <c r="B100" i="5"/>
  <c r="B127" i="5"/>
  <c r="B12" i="5"/>
  <c r="B118" i="5"/>
  <c r="B80" i="5"/>
  <c r="B91" i="5"/>
  <c r="AI76" i="13" l="1"/>
  <c r="K60" i="5"/>
  <c r="K63" i="5"/>
  <c r="K56" i="5"/>
  <c r="K59" i="5"/>
  <c r="K62" i="5"/>
  <c r="K61" i="5"/>
  <c r="K55" i="5"/>
  <c r="K58" i="5"/>
  <c r="K57" i="5"/>
  <c r="I9" i="5"/>
  <c r="H29" i="5"/>
  <c r="H28" i="5"/>
  <c r="I31" i="5"/>
  <c r="H27" i="5"/>
  <c r="H30" i="5"/>
  <c r="I30" i="5"/>
  <c r="I11" i="5"/>
  <c r="H13" i="5"/>
  <c r="H26" i="5"/>
  <c r="I10" i="5"/>
  <c r="AI90" i="13"/>
  <c r="AI97" i="13"/>
  <c r="AI83" i="13"/>
  <c r="AD9" i="13"/>
  <c r="AD7" i="13"/>
  <c r="AE5" i="13"/>
  <c r="AD6" i="13"/>
  <c r="S194" i="4"/>
  <c r="I29" i="5"/>
  <c r="H31" i="5"/>
  <c r="H12" i="5"/>
  <c r="I28" i="5"/>
  <c r="H11" i="5"/>
  <c r="H10" i="5"/>
  <c r="R80" i="4"/>
  <c r="R42" i="4"/>
  <c r="I13" i="5"/>
  <c r="J70" i="5"/>
  <c r="I27" i="5"/>
  <c r="J72" i="5"/>
  <c r="I12" i="5"/>
  <c r="J71" i="5"/>
  <c r="J68" i="5"/>
  <c r="J20" i="5"/>
  <c r="J18" i="5"/>
  <c r="L25" i="5"/>
  <c r="L16" i="5"/>
  <c r="L86" i="5"/>
  <c r="L113" i="5"/>
  <c r="L75" i="5"/>
  <c r="L95" i="5"/>
  <c r="L66" i="5"/>
  <c r="L36" i="5"/>
  <c r="L122" i="5"/>
  <c r="L51" i="5"/>
  <c r="L104" i="5"/>
  <c r="J22" i="5"/>
  <c r="J21" i="5"/>
  <c r="K41" i="5"/>
  <c r="K48" i="5"/>
  <c r="K40" i="5"/>
  <c r="K47" i="5"/>
  <c r="K39" i="5"/>
  <c r="K46" i="5"/>
  <c r="K38" i="5"/>
  <c r="K43" i="5"/>
  <c r="K37" i="5"/>
  <c r="K44" i="5"/>
  <c r="K42" i="5"/>
  <c r="K45" i="5"/>
  <c r="M29" i="4"/>
  <c r="M7" i="5"/>
  <c r="J17" i="5"/>
  <c r="J19" i="5"/>
  <c r="K52" i="5"/>
  <c r="K77" i="5"/>
  <c r="K81" i="5"/>
  <c r="K80" i="5"/>
  <c r="K79" i="5"/>
  <c r="K78" i="5"/>
  <c r="J69" i="5"/>
  <c r="F123" i="7"/>
  <c r="F124" i="7"/>
  <c r="F125" i="7"/>
  <c r="F121" i="7"/>
  <c r="H8" i="5"/>
  <c r="H9" i="5"/>
  <c r="T123" i="7"/>
  <c r="S21" i="7"/>
  <c r="S124" i="7"/>
  <c r="F120" i="7"/>
  <c r="F119" i="7"/>
  <c r="F122" i="7"/>
  <c r="E126" i="7"/>
  <c r="F126" i="7" s="1"/>
  <c r="D127" i="7"/>
  <c r="C127" i="7"/>
  <c r="B25" i="7"/>
  <c r="B128" i="7"/>
  <c r="B72" i="5"/>
  <c r="B119" i="5"/>
  <c r="B81" i="5"/>
  <c r="B128" i="5"/>
  <c r="B110" i="5"/>
  <c r="B101" i="5"/>
  <c r="B13" i="5"/>
  <c r="B92" i="5"/>
  <c r="AJ76" i="13" l="1"/>
  <c r="L55" i="5"/>
  <c r="L63" i="5"/>
  <c r="L59" i="5"/>
  <c r="L62" i="5"/>
  <c r="L58" i="5"/>
  <c r="L61" i="5"/>
  <c r="L60" i="5"/>
  <c r="L57" i="5"/>
  <c r="L56" i="5"/>
  <c r="J12" i="5"/>
  <c r="J11" i="5"/>
  <c r="J31" i="5"/>
  <c r="AJ83" i="13"/>
  <c r="AJ90" i="13"/>
  <c r="AJ97" i="13"/>
  <c r="T194" i="4"/>
  <c r="AD8" i="13"/>
  <c r="AE6" i="13"/>
  <c r="AE9" i="13"/>
  <c r="AF5" i="13"/>
  <c r="AE7" i="13"/>
  <c r="S42" i="4"/>
  <c r="S80" i="4"/>
  <c r="J29" i="5"/>
  <c r="J30" i="5"/>
  <c r="J13" i="5"/>
  <c r="K72" i="5"/>
  <c r="K70" i="5"/>
  <c r="J9" i="5"/>
  <c r="K71" i="5"/>
  <c r="J27" i="5"/>
  <c r="N29" i="4"/>
  <c r="N7" i="5"/>
  <c r="K20" i="5"/>
  <c r="K18" i="5"/>
  <c r="K68" i="5"/>
  <c r="L52" i="5"/>
  <c r="K17" i="5"/>
  <c r="K21" i="5"/>
  <c r="K69" i="5"/>
  <c r="L44" i="5"/>
  <c r="L39" i="5"/>
  <c r="L37" i="5"/>
  <c r="L42" i="5"/>
  <c r="L38" i="5"/>
  <c r="L45" i="5"/>
  <c r="L48" i="5"/>
  <c r="L41" i="5"/>
  <c r="L40" i="5"/>
  <c r="L47" i="5"/>
  <c r="L43" i="5"/>
  <c r="L46" i="5"/>
  <c r="K19" i="5"/>
  <c r="K22" i="5"/>
  <c r="J28" i="5"/>
  <c r="J10" i="5"/>
  <c r="M16" i="5"/>
  <c r="M25" i="5"/>
  <c r="M86" i="5"/>
  <c r="M36" i="5"/>
  <c r="M75" i="5"/>
  <c r="M113" i="5"/>
  <c r="M104" i="5"/>
  <c r="M51" i="5"/>
  <c r="M122" i="5"/>
  <c r="M66" i="5"/>
  <c r="M95" i="5"/>
  <c r="L79" i="5"/>
  <c r="L81" i="5"/>
  <c r="L78" i="5"/>
  <c r="L80" i="5"/>
  <c r="L77" i="5"/>
  <c r="T124" i="7"/>
  <c r="S22" i="7"/>
  <c r="S125" i="7"/>
  <c r="E127" i="7"/>
  <c r="C128" i="7"/>
  <c r="D128" i="7"/>
  <c r="B26" i="7"/>
  <c r="B129" i="7"/>
  <c r="AK76" i="13" l="1"/>
  <c r="M62" i="5"/>
  <c r="M58" i="5"/>
  <c r="M61" i="5"/>
  <c r="M57" i="5"/>
  <c r="M60" i="5"/>
  <c r="M59" i="5"/>
  <c r="M56" i="5"/>
  <c r="M55" i="5"/>
  <c r="M63" i="5"/>
  <c r="K12" i="5"/>
  <c r="K29" i="5"/>
  <c r="K13" i="5"/>
  <c r="AK90" i="13"/>
  <c r="AK97" i="13"/>
  <c r="AK83" i="13"/>
  <c r="AE8" i="13"/>
  <c r="AF6" i="13"/>
  <c r="AG5" i="13"/>
  <c r="AF9" i="13"/>
  <c r="AF7" i="13"/>
  <c r="U194" i="4"/>
  <c r="T80" i="4"/>
  <c r="T42" i="4"/>
  <c r="K31" i="5"/>
  <c r="K11" i="5"/>
  <c r="L70" i="5"/>
  <c r="L69" i="5"/>
  <c r="L71" i="5"/>
  <c r="K30" i="5"/>
  <c r="L72" i="5"/>
  <c r="L68" i="5"/>
  <c r="K28" i="5"/>
  <c r="K10" i="5"/>
  <c r="M52" i="5"/>
  <c r="M80" i="5"/>
  <c r="M77" i="5"/>
  <c r="M79" i="5"/>
  <c r="M81" i="5"/>
  <c r="M78" i="5"/>
  <c r="L21" i="5"/>
  <c r="L22" i="5"/>
  <c r="M44" i="5"/>
  <c r="M47" i="5"/>
  <c r="M39" i="5"/>
  <c r="M42" i="5"/>
  <c r="M45" i="5"/>
  <c r="M37" i="5"/>
  <c r="M38" i="5"/>
  <c r="M48" i="5"/>
  <c r="M43" i="5"/>
  <c r="M46" i="5"/>
  <c r="M41" i="5"/>
  <c r="M40" i="5"/>
  <c r="L18" i="5"/>
  <c r="K9" i="5"/>
  <c r="K27" i="5"/>
  <c r="N25" i="5"/>
  <c r="N16" i="5"/>
  <c r="N95" i="5"/>
  <c r="N113" i="5"/>
  <c r="N66" i="5"/>
  <c r="N86" i="5"/>
  <c r="N122" i="5"/>
  <c r="N36" i="5"/>
  <c r="N75" i="5"/>
  <c r="N104" i="5"/>
  <c r="N51" i="5"/>
  <c r="L19" i="5"/>
  <c r="L17" i="5"/>
  <c r="L20" i="5"/>
  <c r="O7" i="5"/>
  <c r="O29" i="4"/>
  <c r="S23" i="7"/>
  <c r="S126" i="7"/>
  <c r="T125" i="7"/>
  <c r="F127" i="7"/>
  <c r="E128" i="7"/>
  <c r="D129" i="7"/>
  <c r="C129" i="7"/>
  <c r="B27" i="7"/>
  <c r="B130" i="7"/>
  <c r="AL76" i="13" l="1"/>
  <c r="N61" i="5"/>
  <c r="N57" i="5"/>
  <c r="N60" i="5"/>
  <c r="N63" i="5"/>
  <c r="N62" i="5"/>
  <c r="N56" i="5"/>
  <c r="N59" i="5"/>
  <c r="N58" i="5"/>
  <c r="N55" i="5"/>
  <c r="L27" i="5"/>
  <c r="L30" i="5"/>
  <c r="L28" i="5"/>
  <c r="L13" i="5"/>
  <c r="L11" i="5"/>
  <c r="AL83" i="13"/>
  <c r="AL90" i="13"/>
  <c r="AL97" i="13"/>
  <c r="AF8" i="13"/>
  <c r="AG9" i="13"/>
  <c r="AG7" i="13"/>
  <c r="AG6" i="13"/>
  <c r="AH5" i="13"/>
  <c r="AH9" i="13"/>
  <c r="V194" i="4"/>
  <c r="AG8" i="13"/>
  <c r="U80" i="4"/>
  <c r="U42" i="4"/>
  <c r="L10" i="5"/>
  <c r="L12" i="5"/>
  <c r="L31" i="5"/>
  <c r="L29" i="5"/>
  <c r="M72" i="5"/>
  <c r="M70" i="5"/>
  <c r="M71" i="5"/>
  <c r="L9" i="5"/>
  <c r="M19" i="5"/>
  <c r="M18" i="5"/>
  <c r="M22" i="5"/>
  <c r="M69" i="5"/>
  <c r="M21" i="5"/>
  <c r="M68" i="5"/>
  <c r="O25" i="5"/>
  <c r="O16" i="5"/>
  <c r="O95" i="5"/>
  <c r="O36" i="5"/>
  <c r="O51" i="5"/>
  <c r="O104" i="5"/>
  <c r="O86" i="5"/>
  <c r="O66" i="5"/>
  <c r="O75" i="5"/>
  <c r="O122" i="5"/>
  <c r="O113" i="5"/>
  <c r="N41" i="5"/>
  <c r="N48" i="5"/>
  <c r="N47" i="5"/>
  <c r="N39" i="5"/>
  <c r="N42" i="5"/>
  <c r="N46" i="5"/>
  <c r="N45" i="5"/>
  <c r="N43" i="5"/>
  <c r="N44" i="5"/>
  <c r="N38" i="5"/>
  <c r="N40" i="5"/>
  <c r="N37" i="5"/>
  <c r="M20" i="5"/>
  <c r="P7" i="5"/>
  <c r="P29" i="4"/>
  <c r="M17" i="5"/>
  <c r="N52" i="5"/>
  <c r="N77" i="5"/>
  <c r="N79" i="5"/>
  <c r="N78" i="5"/>
  <c r="N81" i="5"/>
  <c r="N80" i="5"/>
  <c r="T126" i="7"/>
  <c r="S24" i="7"/>
  <c r="S127" i="7"/>
  <c r="F128" i="7"/>
  <c r="E129" i="7"/>
  <c r="F129" i="7" s="1"/>
  <c r="C130" i="7"/>
  <c r="D130" i="7"/>
  <c r="B28" i="7"/>
  <c r="B131" i="7"/>
  <c r="AM76" i="13" l="1"/>
  <c r="O60" i="5"/>
  <c r="O63" i="5"/>
  <c r="O56" i="5"/>
  <c r="O59" i="5"/>
  <c r="O55" i="5"/>
  <c r="O58" i="5"/>
  <c r="O57" i="5"/>
  <c r="O62" i="5"/>
  <c r="O61" i="5"/>
  <c r="M28" i="5"/>
  <c r="M9" i="5"/>
  <c r="M29" i="5"/>
  <c r="M30" i="5"/>
  <c r="M13" i="5"/>
  <c r="AM90" i="13"/>
  <c r="AM97" i="13"/>
  <c r="AM83" i="13"/>
  <c r="AH6" i="13"/>
  <c r="AH7" i="13"/>
  <c r="AI5" i="13"/>
  <c r="W194" i="4"/>
  <c r="V42" i="4"/>
  <c r="V80" i="4"/>
  <c r="M11" i="5"/>
  <c r="M31" i="5"/>
  <c r="M12" i="5"/>
  <c r="M10" i="5"/>
  <c r="N70" i="5"/>
  <c r="N72" i="5"/>
  <c r="N71" i="5"/>
  <c r="N22" i="5"/>
  <c r="N68" i="5"/>
  <c r="M27" i="5"/>
  <c r="P25" i="5"/>
  <c r="P16" i="5"/>
  <c r="P86" i="5"/>
  <c r="P36" i="5"/>
  <c r="P75" i="5"/>
  <c r="P51" i="5"/>
  <c r="P104" i="5"/>
  <c r="P95" i="5"/>
  <c r="P113" i="5"/>
  <c r="P122" i="5"/>
  <c r="P66" i="5"/>
  <c r="O43" i="5"/>
  <c r="O46" i="5"/>
  <c r="O38" i="5"/>
  <c r="O41" i="5"/>
  <c r="O44" i="5"/>
  <c r="O47" i="5"/>
  <c r="O42" i="5"/>
  <c r="O45" i="5"/>
  <c r="O40" i="5"/>
  <c r="O39" i="5"/>
  <c r="O37" i="5"/>
  <c r="O48" i="5"/>
  <c r="N18" i="5"/>
  <c r="N17" i="5"/>
  <c r="O80" i="5"/>
  <c r="O81" i="5"/>
  <c r="O78" i="5"/>
  <c r="O79" i="5"/>
  <c r="O77" i="5"/>
  <c r="N21" i="5"/>
  <c r="N19" i="5"/>
  <c r="N20" i="5"/>
  <c r="Q7" i="5"/>
  <c r="Q29" i="4"/>
  <c r="N69" i="5"/>
  <c r="O52" i="5"/>
  <c r="T127" i="7"/>
  <c r="S25" i="7"/>
  <c r="S128" i="7"/>
  <c r="E130" i="7"/>
  <c r="D131" i="7"/>
  <c r="C131" i="7"/>
  <c r="B29" i="7"/>
  <c r="B132" i="7"/>
  <c r="AN76" i="13" l="1"/>
  <c r="P63" i="5"/>
  <c r="P59" i="5"/>
  <c r="P62" i="5"/>
  <c r="P55" i="5"/>
  <c r="P58" i="5"/>
  <c r="P61" i="5"/>
  <c r="P60" i="5"/>
  <c r="P57" i="5"/>
  <c r="P56" i="5"/>
  <c r="N10" i="5"/>
  <c r="N29" i="5"/>
  <c r="N30" i="5"/>
  <c r="N13" i="5"/>
  <c r="AN83" i="13"/>
  <c r="AN90" i="13"/>
  <c r="AN97" i="13"/>
  <c r="X194" i="4"/>
  <c r="AJ5" i="13"/>
  <c r="AH8" i="13"/>
  <c r="AI7" i="13"/>
  <c r="AI9" i="13"/>
  <c r="AI6" i="13"/>
  <c r="AI8" i="13"/>
  <c r="W80" i="4"/>
  <c r="W42" i="4"/>
  <c r="N31" i="5"/>
  <c r="N12" i="5"/>
  <c r="N11" i="5"/>
  <c r="O70" i="5"/>
  <c r="O72" i="5"/>
  <c r="O71" i="5"/>
  <c r="N9" i="5"/>
  <c r="N27" i="5"/>
  <c r="O19" i="5"/>
  <c r="O21" i="5"/>
  <c r="Q25" i="5"/>
  <c r="Q16" i="5"/>
  <c r="Q86" i="5"/>
  <c r="Q36" i="5"/>
  <c r="Q75" i="5"/>
  <c r="Q113" i="5"/>
  <c r="Q122" i="5"/>
  <c r="Q104" i="5"/>
  <c r="Q51" i="5"/>
  <c r="Q95" i="5"/>
  <c r="Q66" i="5"/>
  <c r="P46" i="5"/>
  <c r="P44" i="5"/>
  <c r="P38" i="5"/>
  <c r="P37" i="5"/>
  <c r="P48" i="5"/>
  <c r="P43" i="5"/>
  <c r="P47" i="5"/>
  <c r="P45" i="5"/>
  <c r="P42" i="5"/>
  <c r="P39" i="5"/>
  <c r="P40" i="5"/>
  <c r="P41" i="5"/>
  <c r="O18" i="5"/>
  <c r="O22" i="5"/>
  <c r="P52" i="5"/>
  <c r="R7" i="5"/>
  <c r="R29" i="4"/>
  <c r="N28" i="5"/>
  <c r="P77" i="5"/>
  <c r="P80" i="5"/>
  <c r="P79" i="5"/>
  <c r="P81" i="5"/>
  <c r="P78" i="5"/>
  <c r="O17" i="5"/>
  <c r="O20" i="5"/>
  <c r="O69" i="5"/>
  <c r="O68" i="5"/>
  <c r="S26" i="7"/>
  <c r="S129" i="7"/>
  <c r="T128" i="7"/>
  <c r="F130" i="7"/>
  <c r="E131" i="7"/>
  <c r="F131" i="7" s="1"/>
  <c r="C132" i="7"/>
  <c r="D132" i="7"/>
  <c r="B30" i="7"/>
  <c r="B133" i="7"/>
  <c r="AO76" i="13" l="1"/>
  <c r="Q58" i="5"/>
  <c r="Q61" i="5"/>
  <c r="Q62" i="5"/>
  <c r="Q56" i="5"/>
  <c r="Q55" i="5"/>
  <c r="Q57" i="5"/>
  <c r="Q63" i="5"/>
  <c r="Q60" i="5"/>
  <c r="Q59" i="5"/>
  <c r="O10" i="5"/>
  <c r="O12" i="5"/>
  <c r="O31" i="5"/>
  <c r="O9" i="5"/>
  <c r="O11" i="5"/>
  <c r="AO90" i="13"/>
  <c r="AO97" i="13"/>
  <c r="AO83" i="13"/>
  <c r="AK5" i="13"/>
  <c r="AJ9" i="13"/>
  <c r="AJ6" i="13"/>
  <c r="AJ7" i="13"/>
  <c r="Y194" i="4"/>
  <c r="X80" i="4"/>
  <c r="X42" i="4"/>
  <c r="O13" i="5"/>
  <c r="O30" i="5"/>
  <c r="P70" i="5"/>
  <c r="O29" i="5"/>
  <c r="P72" i="5"/>
  <c r="P71" i="5"/>
  <c r="P20" i="5"/>
  <c r="P17" i="5"/>
  <c r="P18" i="5"/>
  <c r="O27" i="5"/>
  <c r="P68" i="5"/>
  <c r="Q46" i="5"/>
  <c r="Q38" i="5"/>
  <c r="Q45" i="5"/>
  <c r="Q37" i="5"/>
  <c r="Q48" i="5"/>
  <c r="Q44" i="5"/>
  <c r="Q43" i="5"/>
  <c r="Q40" i="5"/>
  <c r="Q39" i="5"/>
  <c r="Q42" i="5"/>
  <c r="Q41" i="5"/>
  <c r="Q47" i="5"/>
  <c r="Q52" i="5"/>
  <c r="P19" i="5"/>
  <c r="S7" i="5"/>
  <c r="S29" i="4"/>
  <c r="O28" i="5"/>
  <c r="P21" i="5"/>
  <c r="P22" i="5"/>
  <c r="R16" i="5"/>
  <c r="R25" i="5"/>
  <c r="R122" i="5"/>
  <c r="R104" i="5"/>
  <c r="R75" i="5"/>
  <c r="R86" i="5"/>
  <c r="R66" i="5"/>
  <c r="R51" i="5"/>
  <c r="R113" i="5"/>
  <c r="R36" i="5"/>
  <c r="R95" i="5"/>
  <c r="P69" i="5"/>
  <c r="T129" i="7"/>
  <c r="S27" i="7"/>
  <c r="S130" i="7"/>
  <c r="E132" i="7"/>
  <c r="F132" i="7" s="1"/>
  <c r="D133" i="7"/>
  <c r="C133" i="7"/>
  <c r="B31" i="7"/>
  <c r="B134" i="7"/>
  <c r="AP76" i="13" l="1"/>
  <c r="R61" i="5"/>
  <c r="R57" i="5"/>
  <c r="R60" i="5"/>
  <c r="R56" i="5"/>
  <c r="R63" i="5"/>
  <c r="R62" i="5"/>
  <c r="R59" i="5"/>
  <c r="R58" i="5"/>
  <c r="R55" i="5"/>
  <c r="P10" i="5"/>
  <c r="P12" i="5"/>
  <c r="P31" i="5"/>
  <c r="P29" i="5"/>
  <c r="AP83" i="13"/>
  <c r="AP90" i="13"/>
  <c r="AP97" i="13"/>
  <c r="AJ8" i="13"/>
  <c r="Z194" i="4"/>
  <c r="AL5" i="13"/>
  <c r="AK9" i="13"/>
  <c r="AK6" i="13"/>
  <c r="AK8" i="13"/>
  <c r="AK7" i="13"/>
  <c r="Y42" i="4"/>
  <c r="Y80" i="4"/>
  <c r="Q72" i="5"/>
  <c r="P13" i="5"/>
  <c r="P11" i="5"/>
  <c r="P30" i="5"/>
  <c r="Q70" i="5"/>
  <c r="Q71" i="5"/>
  <c r="P9" i="5"/>
  <c r="P27" i="5"/>
  <c r="R47" i="5"/>
  <c r="R39" i="5"/>
  <c r="R44" i="5"/>
  <c r="R38" i="5"/>
  <c r="R45" i="5"/>
  <c r="R37" i="5"/>
  <c r="R42" i="5"/>
  <c r="R48" i="5"/>
  <c r="R43" i="5"/>
  <c r="R46" i="5"/>
  <c r="R40" i="5"/>
  <c r="R41" i="5"/>
  <c r="Q22" i="5"/>
  <c r="Q17" i="5"/>
  <c r="P28" i="5"/>
  <c r="Q68" i="5"/>
  <c r="Q19" i="5"/>
  <c r="Q20" i="5"/>
  <c r="R52" i="5"/>
  <c r="T7" i="5"/>
  <c r="T29" i="4"/>
  <c r="Q18" i="5"/>
  <c r="Q21" i="5"/>
  <c r="S16" i="5"/>
  <c r="S25" i="5"/>
  <c r="S122" i="5"/>
  <c r="S75" i="5"/>
  <c r="S113" i="5"/>
  <c r="S66" i="5"/>
  <c r="S95" i="5"/>
  <c r="S104" i="5"/>
  <c r="S51" i="5"/>
  <c r="S36" i="5"/>
  <c r="S86" i="5"/>
  <c r="Q69" i="5"/>
  <c r="T130" i="7"/>
  <c r="S28" i="7"/>
  <c r="S131" i="7"/>
  <c r="E133" i="7"/>
  <c r="F133" i="7" s="1"/>
  <c r="C134" i="7"/>
  <c r="D134" i="7"/>
  <c r="B32" i="7"/>
  <c r="B135" i="7"/>
  <c r="AQ76" i="13" l="1"/>
  <c r="S56" i="5"/>
  <c r="S59" i="5"/>
  <c r="S60" i="5"/>
  <c r="S63" i="5"/>
  <c r="S62" i="5"/>
  <c r="S61" i="5"/>
  <c r="S55" i="5"/>
  <c r="S58" i="5"/>
  <c r="S57" i="5"/>
  <c r="AQ97" i="13"/>
  <c r="AQ90" i="13"/>
  <c r="AQ83" i="13"/>
  <c r="AM5" i="13"/>
  <c r="AL7" i="13"/>
  <c r="AL9" i="13"/>
  <c r="AA194" i="4"/>
  <c r="AL6" i="13"/>
  <c r="Z42" i="4"/>
  <c r="Z80" i="4"/>
  <c r="R70" i="5"/>
  <c r="R72" i="5"/>
  <c r="R71" i="5"/>
  <c r="S52" i="5"/>
  <c r="R18" i="5"/>
  <c r="R68" i="5"/>
  <c r="U7" i="5"/>
  <c r="U29" i="4"/>
  <c r="R19" i="5"/>
  <c r="T25" i="5"/>
  <c r="T16" i="5"/>
  <c r="T95" i="5"/>
  <c r="T36" i="5"/>
  <c r="T66" i="5"/>
  <c r="T86" i="5"/>
  <c r="T104" i="5"/>
  <c r="T113" i="5"/>
  <c r="T122" i="5"/>
  <c r="T75" i="5"/>
  <c r="T51" i="5"/>
  <c r="R20" i="5"/>
  <c r="R21" i="5"/>
  <c r="R69" i="5"/>
  <c r="S47" i="5"/>
  <c r="S39" i="5"/>
  <c r="S48" i="5"/>
  <c r="S40" i="5"/>
  <c r="S41" i="5"/>
  <c r="S42" i="5"/>
  <c r="S45" i="5"/>
  <c r="S37" i="5"/>
  <c r="S46" i="5"/>
  <c r="S38" i="5"/>
  <c r="S43" i="5"/>
  <c r="S44" i="5"/>
  <c r="R22" i="5"/>
  <c r="R17" i="5"/>
  <c r="T131" i="7"/>
  <c r="S29" i="7"/>
  <c r="S132" i="7"/>
  <c r="E134" i="7"/>
  <c r="F134" i="7" s="1"/>
  <c r="D135" i="7"/>
  <c r="C135" i="7"/>
  <c r="B33" i="7"/>
  <c r="B136" i="7"/>
  <c r="AR76" i="13" l="1"/>
  <c r="T63" i="5"/>
  <c r="T59" i="5"/>
  <c r="T62" i="5"/>
  <c r="T55" i="5"/>
  <c r="T58" i="5"/>
  <c r="T61" i="5"/>
  <c r="T60" i="5"/>
  <c r="T57" i="5"/>
  <c r="T56" i="5"/>
  <c r="AR83" i="13"/>
  <c r="AR97" i="13"/>
  <c r="AS97" i="13" s="1"/>
  <c r="AR90" i="13"/>
  <c r="AB194" i="4"/>
  <c r="AM7" i="13"/>
  <c r="AM6" i="13"/>
  <c r="AL8" i="13"/>
  <c r="AN5" i="13"/>
  <c r="AM9" i="13"/>
  <c r="AA80" i="4"/>
  <c r="AA42" i="4"/>
  <c r="S72" i="5"/>
  <c r="S70" i="5"/>
  <c r="S71" i="5"/>
  <c r="S68" i="5"/>
  <c r="T46" i="5"/>
  <c r="T38" i="5"/>
  <c r="T39" i="5"/>
  <c r="T41" i="5"/>
  <c r="T48" i="5"/>
  <c r="T47" i="5"/>
  <c r="T44" i="5"/>
  <c r="T45" i="5"/>
  <c r="T43" i="5"/>
  <c r="T42" i="5"/>
  <c r="T40" i="5"/>
  <c r="T37" i="5"/>
  <c r="S18" i="5"/>
  <c r="S19" i="5"/>
  <c r="S20" i="5"/>
  <c r="V7" i="5"/>
  <c r="V29" i="4"/>
  <c r="S17" i="5"/>
  <c r="U16" i="5"/>
  <c r="U25" i="5"/>
  <c r="U86" i="5"/>
  <c r="U36" i="5"/>
  <c r="U66" i="5"/>
  <c r="U104" i="5"/>
  <c r="U113" i="5"/>
  <c r="U95" i="5"/>
  <c r="U122" i="5"/>
  <c r="U75" i="5"/>
  <c r="U51" i="5"/>
  <c r="S69" i="5"/>
  <c r="T52" i="5"/>
  <c r="S22" i="5"/>
  <c r="S21" i="5"/>
  <c r="T132" i="7"/>
  <c r="S30" i="7"/>
  <c r="S133" i="7"/>
  <c r="E135" i="7"/>
  <c r="F135" i="7" s="1"/>
  <c r="C136" i="7"/>
  <c r="D136" i="7"/>
  <c r="B34" i="7"/>
  <c r="B137" i="7"/>
  <c r="AS83" i="13" l="1"/>
  <c r="AS90" i="13"/>
  <c r="AS76" i="13"/>
  <c r="U62" i="5"/>
  <c r="U58" i="5"/>
  <c r="U61" i="5"/>
  <c r="U57" i="5"/>
  <c r="U63" i="5"/>
  <c r="U60" i="5"/>
  <c r="U59" i="5"/>
  <c r="U56" i="5"/>
  <c r="U55" i="5"/>
  <c r="AN9" i="13"/>
  <c r="AO5" i="13"/>
  <c r="AO9" i="13"/>
  <c r="AN7" i="13"/>
  <c r="AN6" i="13"/>
  <c r="AM8" i="13"/>
  <c r="AC194" i="4"/>
  <c r="V122" i="5"/>
  <c r="AB42" i="4"/>
  <c r="AB80" i="4"/>
  <c r="T72" i="5"/>
  <c r="T70" i="5"/>
  <c r="T71" i="5"/>
  <c r="T17" i="5"/>
  <c r="T19" i="5"/>
  <c r="U52" i="5"/>
  <c r="T21" i="5"/>
  <c r="W7" i="5"/>
  <c r="W29" i="4"/>
  <c r="T22" i="5"/>
  <c r="T20" i="5"/>
  <c r="V25" i="5"/>
  <c r="V16" i="5"/>
  <c r="V66" i="5"/>
  <c r="V104" i="5"/>
  <c r="V51" i="5"/>
  <c r="V75" i="5"/>
  <c r="V95" i="5"/>
  <c r="V36" i="5"/>
  <c r="V113" i="5"/>
  <c r="V86" i="5"/>
  <c r="U42" i="5"/>
  <c r="U41" i="5"/>
  <c r="U48" i="5"/>
  <c r="U40" i="5"/>
  <c r="U47" i="5"/>
  <c r="U39" i="5"/>
  <c r="U38" i="5"/>
  <c r="U44" i="5"/>
  <c r="U46" i="5"/>
  <c r="U45" i="5"/>
  <c r="U37" i="5"/>
  <c r="U43" i="5"/>
  <c r="T18" i="5"/>
  <c r="T69" i="5"/>
  <c r="T68" i="5"/>
  <c r="T133" i="7"/>
  <c r="S31" i="7"/>
  <c r="S134" i="7"/>
  <c r="E136" i="7"/>
  <c r="F136" i="7" s="1"/>
  <c r="D137" i="7"/>
  <c r="C137" i="7"/>
  <c r="B35" i="7"/>
  <c r="B138" i="7"/>
  <c r="V61" i="5" l="1"/>
  <c r="V57" i="5"/>
  <c r="V60" i="5"/>
  <c r="V59" i="5"/>
  <c r="V58" i="5"/>
  <c r="V56" i="5"/>
  <c r="V55" i="5"/>
  <c r="V63" i="5"/>
  <c r="V62" i="5"/>
  <c r="AN8" i="13"/>
  <c r="AP9" i="13"/>
  <c r="AO7" i="13"/>
  <c r="AO8" i="13"/>
  <c r="AP5" i="13"/>
  <c r="AD194" i="4"/>
  <c r="AO6" i="13"/>
  <c r="AC80" i="4"/>
  <c r="AC42" i="4"/>
  <c r="U72" i="5"/>
  <c r="U70" i="5"/>
  <c r="U71" i="5"/>
  <c r="U69" i="5"/>
  <c r="V52" i="5"/>
  <c r="U20" i="5"/>
  <c r="U19" i="5"/>
  <c r="X7" i="5"/>
  <c r="X29" i="4"/>
  <c r="U22" i="5"/>
  <c r="U21" i="5"/>
  <c r="U68" i="5"/>
  <c r="V43" i="5"/>
  <c r="V42" i="5"/>
  <c r="V41" i="5"/>
  <c r="V46" i="5"/>
  <c r="V48" i="5"/>
  <c r="V44" i="5"/>
  <c r="V45" i="5"/>
  <c r="V37" i="5"/>
  <c r="V47" i="5"/>
  <c r="V39" i="5"/>
  <c r="V38" i="5"/>
  <c r="V40" i="5"/>
  <c r="W25" i="5"/>
  <c r="W16" i="5"/>
  <c r="W122" i="5"/>
  <c r="W86" i="5"/>
  <c r="W51" i="5"/>
  <c r="W113" i="5"/>
  <c r="W75" i="5"/>
  <c r="W66" i="5"/>
  <c r="W95" i="5"/>
  <c r="W104" i="5"/>
  <c r="W36" i="5"/>
  <c r="U17" i="5"/>
  <c r="U18" i="5"/>
  <c r="T134" i="7"/>
  <c r="S32" i="7"/>
  <c r="S135" i="7"/>
  <c r="E137" i="7"/>
  <c r="F137" i="7" s="1"/>
  <c r="C138" i="7"/>
  <c r="D138" i="7"/>
  <c r="B36" i="7"/>
  <c r="B139" i="7"/>
  <c r="W60" i="5" l="1"/>
  <c r="W63" i="5"/>
  <c r="W56" i="5"/>
  <c r="W59" i="5"/>
  <c r="W62" i="5"/>
  <c r="W61" i="5"/>
  <c r="W55" i="5"/>
  <c r="W58" i="5"/>
  <c r="W57" i="5"/>
  <c r="AE194" i="4"/>
  <c r="AP6" i="13"/>
  <c r="AP7" i="13"/>
  <c r="AQ5" i="13"/>
  <c r="AD80" i="4"/>
  <c r="AD42" i="4"/>
  <c r="V70" i="5"/>
  <c r="V72" i="5"/>
  <c r="V71" i="5"/>
  <c r="V69" i="5"/>
  <c r="W45" i="5"/>
  <c r="W37" i="5"/>
  <c r="W44" i="5"/>
  <c r="W39" i="5"/>
  <c r="W38" i="5"/>
  <c r="W43" i="5"/>
  <c r="W42" i="5"/>
  <c r="W41" i="5"/>
  <c r="W48" i="5"/>
  <c r="W40" i="5"/>
  <c r="W47" i="5"/>
  <c r="W46" i="5"/>
  <c r="W52" i="5"/>
  <c r="V68" i="5"/>
  <c r="V20" i="5"/>
  <c r="V21" i="5"/>
  <c r="V22" i="5"/>
  <c r="Y7" i="5"/>
  <c r="Y29" i="4"/>
  <c r="V19" i="5"/>
  <c r="X25" i="5"/>
  <c r="X16" i="5"/>
  <c r="X51" i="5"/>
  <c r="X104" i="5"/>
  <c r="X122" i="5"/>
  <c r="X95" i="5"/>
  <c r="X66" i="5"/>
  <c r="X86" i="5"/>
  <c r="X113" i="5"/>
  <c r="X36" i="5"/>
  <c r="X75" i="5"/>
  <c r="V18" i="5"/>
  <c r="V17" i="5"/>
  <c r="T135" i="7"/>
  <c r="S33" i="7"/>
  <c r="S136" i="7"/>
  <c r="E138" i="7"/>
  <c r="F138" i="7" s="1"/>
  <c r="D139" i="7"/>
  <c r="C139" i="7"/>
  <c r="B37" i="7"/>
  <c r="B140" i="7"/>
  <c r="X59" i="5" l="1"/>
  <c r="X62" i="5"/>
  <c r="X55" i="5"/>
  <c r="X58" i="5"/>
  <c r="X63" i="5"/>
  <c r="X57" i="5"/>
  <c r="X56" i="5"/>
  <c r="X61" i="5"/>
  <c r="X60" i="5"/>
  <c r="AP8" i="13"/>
  <c r="AQ9" i="13"/>
  <c r="AR5" i="13"/>
  <c r="AQ6" i="13"/>
  <c r="AQ7" i="13"/>
  <c r="AE42" i="4"/>
  <c r="AE80" i="4"/>
  <c r="W72" i="5"/>
  <c r="W70" i="5"/>
  <c r="W71" i="5"/>
  <c r="W21" i="5"/>
  <c r="W19" i="5"/>
  <c r="X48" i="5"/>
  <c r="X40" i="5"/>
  <c r="X39" i="5"/>
  <c r="X41" i="5"/>
  <c r="X47" i="5"/>
  <c r="X46" i="5"/>
  <c r="X38" i="5"/>
  <c r="X45" i="5"/>
  <c r="X43" i="5"/>
  <c r="X42" i="5"/>
  <c r="X44" i="5"/>
  <c r="X37" i="5"/>
  <c r="X52" i="5"/>
  <c r="Z7" i="5"/>
  <c r="Z29" i="4"/>
  <c r="W20" i="5"/>
  <c r="W22" i="5"/>
  <c r="Y25" i="5"/>
  <c r="Y16" i="5"/>
  <c r="Y66" i="5"/>
  <c r="Y95" i="5"/>
  <c r="Y113" i="5"/>
  <c r="Y104" i="5"/>
  <c r="Y36" i="5"/>
  <c r="Y86" i="5"/>
  <c r="Y122" i="5"/>
  <c r="Y75" i="5"/>
  <c r="Y51" i="5"/>
  <c r="W17" i="5"/>
  <c r="W18" i="5"/>
  <c r="W69" i="5"/>
  <c r="W68" i="5"/>
  <c r="T136" i="7"/>
  <c r="S34" i="7"/>
  <c r="S137" i="7"/>
  <c r="E139" i="7"/>
  <c r="F139" i="7" s="1"/>
  <c r="C140" i="7"/>
  <c r="D140" i="7"/>
  <c r="B38" i="7"/>
  <c r="B141" i="7"/>
  <c r="Y62" i="5" l="1"/>
  <c r="Y58" i="5"/>
  <c r="Y61" i="5"/>
  <c r="Y57" i="5"/>
  <c r="Y63" i="5"/>
  <c r="Y60" i="5"/>
  <c r="Y59" i="5"/>
  <c r="Y56" i="5"/>
  <c r="Y55" i="5"/>
  <c r="AQ8" i="13"/>
  <c r="AR9" i="13"/>
  <c r="AR6" i="13"/>
  <c r="AR7" i="13"/>
  <c r="X70" i="5"/>
  <c r="X72" i="5"/>
  <c r="X71" i="5"/>
  <c r="X21" i="5"/>
  <c r="X20" i="5"/>
  <c r="X69" i="5"/>
  <c r="X17" i="5"/>
  <c r="X18" i="5"/>
  <c r="Y48" i="5"/>
  <c r="Y40" i="5"/>
  <c r="Y45" i="5"/>
  <c r="Y37" i="5"/>
  <c r="Y39" i="5"/>
  <c r="Y46" i="5"/>
  <c r="Y38" i="5"/>
  <c r="Y43" i="5"/>
  <c r="Y42" i="5"/>
  <c r="Y47" i="5"/>
  <c r="Y44" i="5"/>
  <c r="Y41" i="5"/>
  <c r="AA7" i="5"/>
  <c r="AA29" i="4"/>
  <c r="X22" i="5"/>
  <c r="Z16" i="5"/>
  <c r="Z25" i="5"/>
  <c r="Z36" i="5"/>
  <c r="Z95" i="5"/>
  <c r="Z75" i="5"/>
  <c r="Z113" i="5"/>
  <c r="Z86" i="5"/>
  <c r="Z51" i="5"/>
  <c r="Z104" i="5"/>
  <c r="Z122" i="5"/>
  <c r="Z66" i="5"/>
  <c r="X19" i="5"/>
  <c r="Y52" i="5"/>
  <c r="X68" i="5"/>
  <c r="S35" i="7"/>
  <c r="S138" i="7"/>
  <c r="T137" i="7"/>
  <c r="E140" i="7"/>
  <c r="F140" i="7" s="1"/>
  <c r="D141" i="7"/>
  <c r="C141" i="7"/>
  <c r="B39" i="7"/>
  <c r="B142" i="7"/>
  <c r="Z57" i="5" l="1"/>
  <c r="Z60" i="5"/>
  <c r="Z61" i="5"/>
  <c r="Z56" i="5"/>
  <c r="Z55" i="5"/>
  <c r="Z63" i="5"/>
  <c r="Z62" i="5"/>
  <c r="Z59" i="5"/>
  <c r="Z58" i="5"/>
  <c r="AR8" i="13"/>
  <c r="Y72" i="5"/>
  <c r="Y70" i="5"/>
  <c r="Y71" i="5"/>
  <c r="Y19" i="5"/>
  <c r="Y20" i="5"/>
  <c r="Y17" i="5"/>
  <c r="Z45" i="5"/>
  <c r="Z37" i="5"/>
  <c r="Z38" i="5"/>
  <c r="Z41" i="5"/>
  <c r="Z48" i="5"/>
  <c r="Z46" i="5"/>
  <c r="Z43" i="5"/>
  <c r="Z42" i="5"/>
  <c r="Z39" i="5"/>
  <c r="Z44" i="5"/>
  <c r="Z47" i="5"/>
  <c r="Z40" i="5"/>
  <c r="Y69" i="5"/>
  <c r="AB7" i="5"/>
  <c r="AB29" i="4"/>
  <c r="Y18" i="5"/>
  <c r="Y22" i="5"/>
  <c r="AA16" i="5"/>
  <c r="AA25" i="5"/>
  <c r="AA122" i="5"/>
  <c r="AA95" i="5"/>
  <c r="AA75" i="5"/>
  <c r="AA36" i="5"/>
  <c r="AA86" i="5"/>
  <c r="AA51" i="5"/>
  <c r="AA113" i="5"/>
  <c r="AA66" i="5"/>
  <c r="AA104" i="5"/>
  <c r="Y21" i="5"/>
  <c r="Z52" i="5"/>
  <c r="Y68" i="5"/>
  <c r="T138" i="7"/>
  <c r="S36" i="7"/>
  <c r="S139" i="7"/>
  <c r="E141" i="7"/>
  <c r="F141" i="7" s="1"/>
  <c r="C142" i="7"/>
  <c r="D142" i="7"/>
  <c r="B40" i="7"/>
  <c r="B143" i="7"/>
  <c r="AA60" i="5" l="1"/>
  <c r="AA63" i="5"/>
  <c r="AA56" i="5"/>
  <c r="AA59" i="5"/>
  <c r="AA62" i="5"/>
  <c r="AA61" i="5"/>
  <c r="AA55" i="5"/>
  <c r="AA58" i="5"/>
  <c r="AA57" i="5"/>
  <c r="Z70" i="5"/>
  <c r="Z72" i="5"/>
  <c r="Z71" i="5"/>
  <c r="AA52" i="5"/>
  <c r="AB25" i="5"/>
  <c r="AB16" i="5"/>
  <c r="AB66" i="5"/>
  <c r="AB104" i="5"/>
  <c r="AB122" i="5"/>
  <c r="AB36" i="5"/>
  <c r="AB51" i="5"/>
  <c r="AB95" i="5"/>
  <c r="AB86" i="5"/>
  <c r="AB113" i="5"/>
  <c r="AB75" i="5"/>
  <c r="Z18" i="5"/>
  <c r="Z21" i="5"/>
  <c r="Z69" i="5"/>
  <c r="Z68" i="5"/>
  <c r="Z19" i="5"/>
  <c r="Z17" i="5"/>
  <c r="Z22" i="5"/>
  <c r="AA45" i="5"/>
  <c r="AA37" i="5"/>
  <c r="AA48" i="5"/>
  <c r="AA40" i="5"/>
  <c r="AA43" i="5"/>
  <c r="AA46" i="5"/>
  <c r="AA38" i="5"/>
  <c r="AA41" i="5"/>
  <c r="AA44" i="5"/>
  <c r="AA47" i="5"/>
  <c r="AA39" i="5"/>
  <c r="AA42" i="5"/>
  <c r="AC7" i="5"/>
  <c r="AC29" i="4"/>
  <c r="Z20" i="5"/>
  <c r="T139" i="7"/>
  <c r="S37" i="7"/>
  <c r="S140" i="7"/>
  <c r="E142" i="7"/>
  <c r="F142" i="7" s="1"/>
  <c r="D143" i="7"/>
  <c r="C143" i="7"/>
  <c r="B41" i="7"/>
  <c r="B144" i="7"/>
  <c r="AB55" i="5" l="1"/>
  <c r="AB58" i="5"/>
  <c r="AB63" i="5"/>
  <c r="AB59" i="5"/>
  <c r="AB62" i="5"/>
  <c r="AB61" i="5"/>
  <c r="AB60" i="5"/>
  <c r="AB57" i="5"/>
  <c r="AB56" i="5"/>
  <c r="AA70" i="5"/>
  <c r="AA72" i="5"/>
  <c r="AA71" i="5"/>
  <c r="AA69" i="5"/>
  <c r="AA20" i="5"/>
  <c r="AA18" i="5"/>
  <c r="AA21" i="5"/>
  <c r="AB42" i="5"/>
  <c r="AB39" i="5"/>
  <c r="AB44" i="5"/>
  <c r="AB43" i="5"/>
  <c r="AB48" i="5"/>
  <c r="AB40" i="5"/>
  <c r="AB41" i="5"/>
  <c r="AB45" i="5"/>
  <c r="AB46" i="5"/>
  <c r="AB38" i="5"/>
  <c r="AB37" i="5"/>
  <c r="AB47" i="5"/>
  <c r="AD7" i="5"/>
  <c r="AD29" i="4"/>
  <c r="AA68" i="5"/>
  <c r="AA17" i="5"/>
  <c r="AA22" i="5"/>
  <c r="AB52" i="5"/>
  <c r="AC16" i="5"/>
  <c r="AC25" i="5"/>
  <c r="AC113" i="5"/>
  <c r="AC104" i="5"/>
  <c r="AC51" i="5"/>
  <c r="AC86" i="5"/>
  <c r="AC122" i="5"/>
  <c r="AC95" i="5"/>
  <c r="AC75" i="5"/>
  <c r="AC66" i="5"/>
  <c r="AC36" i="5"/>
  <c r="AA19" i="5"/>
  <c r="T140" i="7"/>
  <c r="S38" i="7"/>
  <c r="S141" i="7"/>
  <c r="E143" i="7"/>
  <c r="C144" i="7"/>
  <c r="D144" i="7"/>
  <c r="B42" i="7"/>
  <c r="B145" i="7"/>
  <c r="AC62" i="5" l="1"/>
  <c r="AC58" i="5"/>
  <c r="AC61" i="5"/>
  <c r="AC57" i="5"/>
  <c r="AC60" i="5"/>
  <c r="AC59" i="5"/>
  <c r="AC56" i="5"/>
  <c r="AC55" i="5"/>
  <c r="AC63" i="5"/>
  <c r="AB72" i="5"/>
  <c r="AB70" i="5"/>
  <c r="AB71" i="5"/>
  <c r="AB18" i="5"/>
  <c r="AC52" i="5"/>
  <c r="AC46" i="5"/>
  <c r="AC38" i="5"/>
  <c r="AC47" i="5"/>
  <c r="AC39" i="5"/>
  <c r="AC44" i="5"/>
  <c r="AC45" i="5"/>
  <c r="AC37" i="5"/>
  <c r="AC42" i="5"/>
  <c r="AC43" i="5"/>
  <c r="AC48" i="5"/>
  <c r="AC40" i="5"/>
  <c r="AC41" i="5"/>
  <c r="AB22" i="5"/>
  <c r="AB19" i="5"/>
  <c r="AD25" i="5"/>
  <c r="AD16" i="5"/>
  <c r="AD122" i="5"/>
  <c r="AD36" i="5"/>
  <c r="AD75" i="5"/>
  <c r="AD104" i="5"/>
  <c r="AD51" i="5"/>
  <c r="AD66" i="5"/>
  <c r="AD113" i="5"/>
  <c r="AD86" i="5"/>
  <c r="AD95" i="5"/>
  <c r="AB68" i="5"/>
  <c r="AB69" i="5"/>
  <c r="AB20" i="5"/>
  <c r="AB21" i="5"/>
  <c r="AB17" i="5"/>
  <c r="AE7" i="5"/>
  <c r="AE29" i="4"/>
  <c r="S39" i="7"/>
  <c r="S142" i="7"/>
  <c r="T141" i="7"/>
  <c r="F143" i="7"/>
  <c r="E144" i="7"/>
  <c r="D145" i="7"/>
  <c r="C145" i="7"/>
  <c r="B43" i="7"/>
  <c r="B146" i="7"/>
  <c r="AD61" i="5" l="1"/>
  <c r="AD57" i="5"/>
  <c r="AD60" i="5"/>
  <c r="AD63" i="5"/>
  <c r="AD62" i="5"/>
  <c r="AD59" i="5"/>
  <c r="AD58" i="5"/>
  <c r="AD56" i="5"/>
  <c r="AD55" i="5"/>
  <c r="AC70" i="5"/>
  <c r="AC72" i="5"/>
  <c r="AC71" i="5"/>
  <c r="AC68" i="5"/>
  <c r="AE25" i="5"/>
  <c r="AE16" i="5"/>
  <c r="AE95" i="5"/>
  <c r="AE104" i="5"/>
  <c r="AE51" i="5"/>
  <c r="AE36" i="5"/>
  <c r="AE86" i="5"/>
  <c r="AE66" i="5"/>
  <c r="AE122" i="5"/>
  <c r="AE113" i="5"/>
  <c r="AE75" i="5"/>
  <c r="AC19" i="5"/>
  <c r="AD52" i="5"/>
  <c r="AD44" i="5"/>
  <c r="AD47" i="5"/>
  <c r="AD39" i="5"/>
  <c r="AD46" i="5"/>
  <c r="AD45" i="5"/>
  <c r="AD37" i="5"/>
  <c r="AD42" i="5"/>
  <c r="AD38" i="5"/>
  <c r="AD43" i="5"/>
  <c r="AD40" i="5"/>
  <c r="AD48" i="5"/>
  <c r="AD41" i="5"/>
  <c r="AC18" i="5"/>
  <c r="AC21" i="5"/>
  <c r="AC17" i="5"/>
  <c r="AC69" i="5"/>
  <c r="AC20" i="5"/>
  <c r="AC22" i="5"/>
  <c r="AF7" i="5"/>
  <c r="T142" i="7"/>
  <c r="S40" i="7"/>
  <c r="S143" i="7"/>
  <c r="F144" i="7"/>
  <c r="E145" i="7"/>
  <c r="C146" i="7"/>
  <c r="D146" i="7"/>
  <c r="B44" i="7"/>
  <c r="B147" i="7"/>
  <c r="AE60" i="5" l="1"/>
  <c r="AE63" i="5"/>
  <c r="AE56" i="5"/>
  <c r="AE59" i="5"/>
  <c r="AE55" i="5"/>
  <c r="AE58" i="5"/>
  <c r="AE57" i="5"/>
  <c r="AE62" i="5"/>
  <c r="AE61" i="5"/>
  <c r="AD70" i="5"/>
  <c r="AD72" i="5"/>
  <c r="AD71" i="5"/>
  <c r="AD22" i="5"/>
  <c r="AD20" i="5"/>
  <c r="AD17" i="5"/>
  <c r="AE45" i="5"/>
  <c r="AE37" i="5"/>
  <c r="AE46" i="5"/>
  <c r="AE38" i="5"/>
  <c r="AE43" i="5"/>
  <c r="AE44" i="5"/>
  <c r="AE41" i="5"/>
  <c r="AE42" i="5"/>
  <c r="AE47" i="5"/>
  <c r="AE39" i="5"/>
  <c r="AE48" i="5"/>
  <c r="AE40" i="5"/>
  <c r="AG7" i="5"/>
  <c r="AF25" i="5"/>
  <c r="AF16" i="5"/>
  <c r="AF122" i="5"/>
  <c r="AF113" i="5"/>
  <c r="AF95" i="5"/>
  <c r="AF66" i="5"/>
  <c r="AF51" i="5"/>
  <c r="AF86" i="5"/>
  <c r="AF36" i="5"/>
  <c r="AF75" i="5"/>
  <c r="AF104" i="5"/>
  <c r="AD68" i="5"/>
  <c r="AD19" i="5"/>
  <c r="AD18" i="5"/>
  <c r="AE52" i="5"/>
  <c r="AD69" i="5"/>
  <c r="AD21" i="5"/>
  <c r="T143" i="7"/>
  <c r="S41" i="7"/>
  <c r="S144" i="7"/>
  <c r="F145" i="7"/>
  <c r="E146" i="7"/>
  <c r="F146" i="7" s="1"/>
  <c r="D147" i="7"/>
  <c r="C147" i="7"/>
  <c r="B45" i="7"/>
  <c r="B148" i="7"/>
  <c r="R81" i="5"/>
  <c r="R80" i="5"/>
  <c r="R78" i="5"/>
  <c r="R79" i="5"/>
  <c r="R77" i="5"/>
  <c r="Q79" i="5"/>
  <c r="Q77" i="5"/>
  <c r="Q80" i="5"/>
  <c r="Q78" i="5"/>
  <c r="Q81" i="5"/>
  <c r="AE70" i="5" l="1"/>
  <c r="AE72" i="5"/>
  <c r="AE71" i="5"/>
  <c r="AE18" i="5"/>
  <c r="AE21" i="5"/>
  <c r="AE17" i="5"/>
  <c r="AE22" i="5"/>
  <c r="AE20" i="5"/>
  <c r="AE19" i="5"/>
  <c r="AF57" i="5"/>
  <c r="AF63" i="5"/>
  <c r="AF61" i="5"/>
  <c r="AF59" i="5"/>
  <c r="AF62" i="5"/>
  <c r="AF58" i="5"/>
  <c r="AF55" i="5"/>
  <c r="AF60" i="5"/>
  <c r="AF52" i="5"/>
  <c r="AF56" i="5"/>
  <c r="AH7" i="5"/>
  <c r="AE69" i="5"/>
  <c r="AE68" i="5"/>
  <c r="AF48" i="5"/>
  <c r="AF40" i="5"/>
  <c r="AF47" i="5"/>
  <c r="AF46" i="5"/>
  <c r="AF38" i="5"/>
  <c r="AF39" i="5"/>
  <c r="AF44" i="5"/>
  <c r="AF43" i="5"/>
  <c r="AF41" i="5"/>
  <c r="AF42" i="5"/>
  <c r="AF45" i="5"/>
  <c r="AF37" i="5"/>
  <c r="AG25" i="5"/>
  <c r="AG16" i="5"/>
  <c r="AG104" i="5"/>
  <c r="AG95" i="5"/>
  <c r="AG66" i="5"/>
  <c r="AG75" i="5"/>
  <c r="AG86" i="5"/>
  <c r="AG36" i="5"/>
  <c r="AG51" i="5"/>
  <c r="AG113" i="5"/>
  <c r="AG122" i="5"/>
  <c r="Q13" i="5"/>
  <c r="Q31" i="5"/>
  <c r="Q12" i="5"/>
  <c r="Q30" i="5"/>
  <c r="Q11" i="5"/>
  <c r="Q29" i="5"/>
  <c r="R11" i="5"/>
  <c r="R29" i="5"/>
  <c r="R13" i="5"/>
  <c r="R31" i="5"/>
  <c r="R10" i="5"/>
  <c r="R28" i="5"/>
  <c r="Q10" i="5"/>
  <c r="Q28" i="5"/>
  <c r="Q9" i="5"/>
  <c r="Q27" i="5"/>
  <c r="R9" i="5"/>
  <c r="R27" i="5"/>
  <c r="R12" i="5"/>
  <c r="R30" i="5"/>
  <c r="S42" i="7"/>
  <c r="S145" i="7"/>
  <c r="T144" i="7"/>
  <c r="E147" i="7"/>
  <c r="F147" i="7" s="1"/>
  <c r="C148" i="7"/>
  <c r="D148" i="7"/>
  <c r="B46" i="7"/>
  <c r="B149" i="7"/>
  <c r="S81" i="5"/>
  <c r="S80" i="5"/>
  <c r="S78" i="5"/>
  <c r="S79" i="5"/>
  <c r="S77" i="5"/>
  <c r="AF70" i="5" l="1"/>
  <c r="AF72" i="5"/>
  <c r="AF71" i="5"/>
  <c r="AF69" i="5"/>
  <c r="AF68" i="5"/>
  <c r="AI7" i="5"/>
  <c r="AJ7" i="5"/>
  <c r="AF17" i="5"/>
  <c r="AF21" i="5"/>
  <c r="AG59" i="5"/>
  <c r="AG61" i="5"/>
  <c r="AG54" i="5"/>
  <c r="AG62" i="5"/>
  <c r="AG53" i="5"/>
  <c r="AG57" i="5"/>
  <c r="AG55" i="5"/>
  <c r="AG56" i="5"/>
  <c r="AG58" i="5"/>
  <c r="AG52" i="5"/>
  <c r="AG63" i="5"/>
  <c r="AG60" i="5"/>
  <c r="AH16" i="5"/>
  <c r="AH25" i="5"/>
  <c r="AH104" i="5"/>
  <c r="AH51" i="5"/>
  <c r="AH113" i="5"/>
  <c r="AH66" i="5"/>
  <c r="AH75" i="5"/>
  <c r="AH95" i="5"/>
  <c r="AH86" i="5"/>
  <c r="AH122" i="5"/>
  <c r="AH36" i="5"/>
  <c r="AF22" i="5"/>
  <c r="AF20" i="5"/>
  <c r="AF18" i="5"/>
  <c r="AG46" i="5"/>
  <c r="AG38" i="5"/>
  <c r="AG45" i="5"/>
  <c r="AG37" i="5"/>
  <c r="AG48" i="5"/>
  <c r="AG40" i="5"/>
  <c r="AG47" i="5"/>
  <c r="AG39" i="5"/>
  <c r="AG44" i="5"/>
  <c r="AG43" i="5"/>
  <c r="AG42" i="5"/>
  <c r="AG41" i="5"/>
  <c r="AF19" i="5"/>
  <c r="S12" i="5"/>
  <c r="S30" i="5"/>
  <c r="S9" i="5"/>
  <c r="S27" i="5"/>
  <c r="S13" i="5"/>
  <c r="S31" i="5"/>
  <c r="S11" i="5"/>
  <c r="S29" i="5"/>
  <c r="S10" i="5"/>
  <c r="S28" i="5"/>
  <c r="T145" i="7"/>
  <c r="S43" i="7"/>
  <c r="S146" i="7"/>
  <c r="E148" i="7"/>
  <c r="F148" i="7" s="1"/>
  <c r="D149" i="7"/>
  <c r="C149" i="7"/>
  <c r="B47" i="7"/>
  <c r="B150" i="7"/>
  <c r="T81" i="5"/>
  <c r="T79" i="5"/>
  <c r="T77" i="5"/>
  <c r="T80" i="5"/>
  <c r="T78" i="5"/>
  <c r="AG67" i="5" l="1"/>
  <c r="AG70" i="5"/>
  <c r="AG72" i="5"/>
  <c r="AG71" i="5"/>
  <c r="AG17" i="5"/>
  <c r="AH43" i="5"/>
  <c r="AH46" i="5"/>
  <c r="AH42" i="5"/>
  <c r="AH41" i="5"/>
  <c r="AH38" i="5"/>
  <c r="AH47" i="5"/>
  <c r="AH39" i="5"/>
  <c r="AH44" i="5"/>
  <c r="AH48" i="5"/>
  <c r="AH45" i="5"/>
  <c r="AH37" i="5"/>
  <c r="AH40" i="5"/>
  <c r="AG22" i="5"/>
  <c r="AG18" i="5"/>
  <c r="AH52" i="5"/>
  <c r="AH53" i="5"/>
  <c r="AH56" i="5"/>
  <c r="AH59" i="5"/>
  <c r="AH62" i="5"/>
  <c r="AH57" i="5"/>
  <c r="AH60" i="5"/>
  <c r="AH63" i="5"/>
  <c r="AH54" i="5"/>
  <c r="AH58" i="5"/>
  <c r="AH61" i="5"/>
  <c r="AH55" i="5"/>
  <c r="AJ25" i="5"/>
  <c r="AJ16" i="5"/>
  <c r="AJ104" i="5"/>
  <c r="AJ113" i="5"/>
  <c r="AJ95" i="5"/>
  <c r="AJ122" i="5"/>
  <c r="AJ86" i="5"/>
  <c r="AJ51" i="5"/>
  <c r="AJ66" i="5"/>
  <c r="AJ75" i="5"/>
  <c r="AJ36" i="5"/>
  <c r="AG20" i="5"/>
  <c r="AG21" i="5"/>
  <c r="AG69" i="5"/>
  <c r="AG68" i="5"/>
  <c r="AG19" i="5"/>
  <c r="AI16" i="5"/>
  <c r="AI25" i="5"/>
  <c r="AI122" i="5"/>
  <c r="AI75" i="5"/>
  <c r="AI51" i="5"/>
  <c r="AI95" i="5"/>
  <c r="AI36" i="5"/>
  <c r="AI86" i="5"/>
  <c r="AI104" i="5"/>
  <c r="AI113" i="5"/>
  <c r="AI66" i="5"/>
  <c r="T12" i="5"/>
  <c r="T30" i="5"/>
  <c r="T13" i="5"/>
  <c r="T31" i="5"/>
  <c r="T9" i="5"/>
  <c r="T27" i="5"/>
  <c r="T11" i="5"/>
  <c r="T29" i="5"/>
  <c r="T10" i="5"/>
  <c r="T28" i="5"/>
  <c r="T146" i="7"/>
  <c r="S44" i="7"/>
  <c r="S147" i="7"/>
  <c r="E149" i="7"/>
  <c r="F149" i="7" s="1"/>
  <c r="C150" i="7"/>
  <c r="D150" i="7"/>
  <c r="B48" i="7"/>
  <c r="B151" i="7"/>
  <c r="U79" i="5"/>
  <c r="U77" i="5"/>
  <c r="U81" i="5"/>
  <c r="U80" i="5"/>
  <c r="U78" i="5"/>
  <c r="AH70" i="5" l="1"/>
  <c r="AH72" i="5"/>
  <c r="AH71" i="5"/>
  <c r="AH17" i="5"/>
  <c r="AH20" i="5"/>
  <c r="AJ48" i="5"/>
  <c r="AJ40" i="5"/>
  <c r="AJ37" i="5"/>
  <c r="AJ39" i="5"/>
  <c r="AJ46" i="5"/>
  <c r="AJ43" i="5"/>
  <c r="AJ41" i="5"/>
  <c r="AJ42" i="5"/>
  <c r="AJ45" i="5"/>
  <c r="AJ47" i="5"/>
  <c r="AJ38" i="5"/>
  <c r="AJ44" i="5"/>
  <c r="AJ62" i="5"/>
  <c r="AJ63" i="5"/>
  <c r="AJ54" i="5"/>
  <c r="AJ60" i="5"/>
  <c r="AJ58" i="5"/>
  <c r="AJ52" i="5"/>
  <c r="AJ53" i="5"/>
  <c r="AJ56" i="5"/>
  <c r="AJ57" i="5"/>
  <c r="AJ59" i="5"/>
  <c r="AJ55" i="5"/>
  <c r="AJ61" i="5"/>
  <c r="AH69" i="5"/>
  <c r="AH68" i="5"/>
  <c r="AI53" i="5"/>
  <c r="AI57" i="5"/>
  <c r="AI58" i="5"/>
  <c r="AI61" i="5"/>
  <c r="AI63" i="5"/>
  <c r="AI60" i="5"/>
  <c r="AI59" i="5"/>
  <c r="AI55" i="5"/>
  <c r="AI52" i="5"/>
  <c r="AI62" i="5"/>
  <c r="AI56" i="5"/>
  <c r="AI54" i="5"/>
  <c r="AH22" i="5"/>
  <c r="AH18" i="5"/>
  <c r="AI43" i="5"/>
  <c r="AI39" i="5"/>
  <c r="AI48" i="5"/>
  <c r="AI41" i="5"/>
  <c r="AI42" i="5"/>
  <c r="AI45" i="5"/>
  <c r="AI37" i="5"/>
  <c r="AI46" i="5"/>
  <c r="AI38" i="5"/>
  <c r="AI44" i="5"/>
  <c r="AI47" i="5"/>
  <c r="AI40" i="5"/>
  <c r="AI80" i="5"/>
  <c r="AI77" i="5"/>
  <c r="AI79" i="5"/>
  <c r="AI78" i="5"/>
  <c r="AI76" i="5"/>
  <c r="AI81" i="5"/>
  <c r="AH21" i="5"/>
  <c r="AH19" i="5"/>
  <c r="AJ78" i="5"/>
  <c r="AJ77" i="5"/>
  <c r="AJ81" i="5"/>
  <c r="AJ76" i="5"/>
  <c r="AJ79" i="5"/>
  <c r="AJ80" i="5"/>
  <c r="AH67" i="5"/>
  <c r="U12" i="5"/>
  <c r="U30" i="5"/>
  <c r="U9" i="5"/>
  <c r="U27" i="5"/>
  <c r="U10" i="5"/>
  <c r="U28" i="5"/>
  <c r="U13" i="5"/>
  <c r="U31" i="5"/>
  <c r="U11" i="5"/>
  <c r="U29" i="5"/>
  <c r="T147" i="7"/>
  <c r="S45" i="7"/>
  <c r="S148" i="7"/>
  <c r="E150" i="7"/>
  <c r="F150" i="7" s="1"/>
  <c r="D151" i="7"/>
  <c r="C151" i="7"/>
  <c r="B49" i="7"/>
  <c r="B152" i="7"/>
  <c r="V81" i="5"/>
  <c r="V80" i="5"/>
  <c r="V78" i="5"/>
  <c r="V79" i="5"/>
  <c r="V77" i="5"/>
  <c r="F60" i="5" l="1"/>
  <c r="F63" i="5"/>
  <c r="F47" i="5"/>
  <c r="F59" i="5"/>
  <c r="F57" i="5"/>
  <c r="F44" i="5"/>
  <c r="F45" i="5"/>
  <c r="F37" i="5"/>
  <c r="F61" i="5"/>
  <c r="F55" i="5"/>
  <c r="F56" i="5"/>
  <c r="F62" i="5"/>
  <c r="F42" i="5"/>
  <c r="F43" i="5"/>
  <c r="F40" i="5"/>
  <c r="F52" i="5"/>
  <c r="F58" i="5"/>
  <c r="F41" i="5"/>
  <c r="F46" i="5"/>
  <c r="F48" i="5"/>
  <c r="AI70" i="5"/>
  <c r="AI11" i="5" s="1"/>
  <c r="AI67" i="5"/>
  <c r="AJ72" i="5"/>
  <c r="AI72" i="5"/>
  <c r="AI31" i="5" s="1"/>
  <c r="AJ70" i="5"/>
  <c r="AI71" i="5"/>
  <c r="AI30" i="5" s="1"/>
  <c r="AJ71" i="5"/>
  <c r="AJ20" i="5"/>
  <c r="AJ67" i="5"/>
  <c r="AI21" i="5"/>
  <c r="AI20" i="5"/>
  <c r="AI19" i="5"/>
  <c r="AI17" i="5"/>
  <c r="AI18" i="5"/>
  <c r="AJ18" i="5"/>
  <c r="AJ21" i="5"/>
  <c r="AJ68" i="5"/>
  <c r="AJ69" i="5"/>
  <c r="AJ17" i="5"/>
  <c r="AI69" i="5"/>
  <c r="AI68" i="5"/>
  <c r="AI22" i="5"/>
  <c r="AJ22" i="5"/>
  <c r="AJ19" i="5"/>
  <c r="V13" i="5"/>
  <c r="V31" i="5"/>
  <c r="V10" i="5"/>
  <c r="V28" i="5"/>
  <c r="V9" i="5"/>
  <c r="V27" i="5"/>
  <c r="V12" i="5"/>
  <c r="V30" i="5"/>
  <c r="V11" i="5"/>
  <c r="V29" i="5"/>
  <c r="T148" i="7"/>
  <c r="S46" i="7"/>
  <c r="S149" i="7"/>
  <c r="E151" i="7"/>
  <c r="F151" i="7" s="1"/>
  <c r="C152" i="7"/>
  <c r="D152" i="7"/>
  <c r="B50" i="7"/>
  <c r="B153" i="7"/>
  <c r="W81" i="5"/>
  <c r="W80" i="5"/>
  <c r="W78" i="5"/>
  <c r="W79" i="5"/>
  <c r="W77" i="5"/>
  <c r="AJ30" i="5" l="1"/>
  <c r="F71" i="5"/>
  <c r="AJ11" i="5"/>
  <c r="F70" i="5"/>
  <c r="F69" i="5"/>
  <c r="AJ31" i="5"/>
  <c r="F72" i="5"/>
  <c r="F68" i="5"/>
  <c r="L11" i="13" a="1"/>
  <c r="M11" i="13" s="1"/>
  <c r="L8" i="13" a="1"/>
  <c r="L9" i="13" a="1"/>
  <c r="L10" i="13" a="1"/>
  <c r="AI13" i="5"/>
  <c r="AI29" i="5"/>
  <c r="AJ13" i="5"/>
  <c r="AJ29" i="5"/>
  <c r="AI12" i="5"/>
  <c r="AJ12" i="5"/>
  <c r="AI26" i="5"/>
  <c r="AI8" i="5"/>
  <c r="AJ28" i="5"/>
  <c r="AJ10" i="5"/>
  <c r="AJ26" i="5"/>
  <c r="AJ8" i="5"/>
  <c r="AI27" i="5"/>
  <c r="AI9" i="5"/>
  <c r="AI28" i="5"/>
  <c r="AI10" i="5"/>
  <c r="AJ27" i="5"/>
  <c r="AJ9" i="5"/>
  <c r="W12" i="5"/>
  <c r="W30" i="5"/>
  <c r="W10" i="5"/>
  <c r="W28" i="5"/>
  <c r="W9" i="5"/>
  <c r="W27" i="5"/>
  <c r="W11" i="5"/>
  <c r="W29" i="5"/>
  <c r="W13" i="5"/>
  <c r="W31" i="5"/>
  <c r="T149" i="7"/>
  <c r="S47" i="7"/>
  <c r="S150" i="7"/>
  <c r="E152" i="7"/>
  <c r="F152" i="7" s="1"/>
  <c r="D153" i="7"/>
  <c r="C153" i="7"/>
  <c r="B51" i="7"/>
  <c r="B154" i="7"/>
  <c r="X81" i="5"/>
  <c r="X79" i="5"/>
  <c r="X77" i="5"/>
  <c r="X80" i="5"/>
  <c r="X78" i="5"/>
  <c r="P11" i="13" l="1"/>
  <c r="L11" i="13"/>
  <c r="N11" i="13"/>
  <c r="Q11" i="13"/>
  <c r="O11" i="13"/>
  <c r="L9" i="13"/>
  <c r="M9" i="13"/>
  <c r="O9" i="13"/>
  <c r="P9" i="13"/>
  <c r="N9" i="13"/>
  <c r="Q9" i="13"/>
  <c r="O8" i="13"/>
  <c r="M8" i="13"/>
  <c r="P8" i="13"/>
  <c r="N8" i="13"/>
  <c r="L8" i="13"/>
  <c r="Q8" i="13"/>
  <c r="M10" i="13"/>
  <c r="N10" i="13"/>
  <c r="Q10" i="13"/>
  <c r="P10" i="13"/>
  <c r="L10" i="13"/>
  <c r="O10" i="13"/>
  <c r="X10" i="5"/>
  <c r="X28" i="5"/>
  <c r="X11" i="5"/>
  <c r="X29" i="5"/>
  <c r="X9" i="5"/>
  <c r="X27" i="5"/>
  <c r="X12" i="5"/>
  <c r="X30" i="5"/>
  <c r="X13" i="5"/>
  <c r="X31" i="5"/>
  <c r="T150" i="7"/>
  <c r="S48" i="7"/>
  <c r="S151" i="7"/>
  <c r="E153" i="7"/>
  <c r="F153" i="7" s="1"/>
  <c r="C154" i="7"/>
  <c r="D154" i="7"/>
  <c r="B52" i="7"/>
  <c r="B155" i="7"/>
  <c r="Y79" i="5"/>
  <c r="Y77" i="5"/>
  <c r="Y81" i="5"/>
  <c r="Y80" i="5"/>
  <c r="Y78" i="5"/>
  <c r="Y13" i="5" l="1"/>
  <c r="Y31" i="5"/>
  <c r="Y10" i="5"/>
  <c r="Y28" i="5"/>
  <c r="Y12" i="5"/>
  <c r="Y30" i="5"/>
  <c r="Y9" i="5"/>
  <c r="Y27" i="5"/>
  <c r="Y11" i="5"/>
  <c r="Y29" i="5"/>
  <c r="T151" i="7"/>
  <c r="S49" i="7"/>
  <c r="S152" i="7"/>
  <c r="E154" i="7"/>
  <c r="F154" i="7" s="1"/>
  <c r="D155" i="7"/>
  <c r="C155" i="7"/>
  <c r="B53" i="7"/>
  <c r="B156" i="7"/>
  <c r="Z81" i="5"/>
  <c r="Z80" i="5"/>
  <c r="Z78" i="5"/>
  <c r="Z79" i="5"/>
  <c r="Z77" i="5"/>
  <c r="Z10" i="5" l="1"/>
  <c r="Z28" i="5"/>
  <c r="Z9" i="5"/>
  <c r="Z27" i="5"/>
  <c r="Z12" i="5"/>
  <c r="Z30" i="5"/>
  <c r="Z11" i="5"/>
  <c r="Z29" i="5"/>
  <c r="Z13" i="5"/>
  <c r="Z31" i="5"/>
  <c r="T152" i="7"/>
  <c r="S50" i="7"/>
  <c r="S153" i="7"/>
  <c r="E155" i="7"/>
  <c r="F155" i="7" s="1"/>
  <c r="C156" i="7"/>
  <c r="D156" i="7"/>
  <c r="B54" i="7"/>
  <c r="B157" i="7"/>
  <c r="AA81" i="5"/>
  <c r="AA80" i="5"/>
  <c r="AA78" i="5"/>
  <c r="AA79" i="5"/>
  <c r="AA77" i="5"/>
  <c r="AA12" i="5" l="1"/>
  <c r="AA30" i="5"/>
  <c r="AA9" i="5"/>
  <c r="AA27" i="5"/>
  <c r="AA10" i="5"/>
  <c r="AA28" i="5"/>
  <c r="AA11" i="5"/>
  <c r="AA29" i="5"/>
  <c r="AA13" i="5"/>
  <c r="AA31" i="5"/>
  <c r="S51" i="7"/>
  <c r="S154" i="7"/>
  <c r="T153" i="7"/>
  <c r="E156" i="7"/>
  <c r="F156" i="7" s="1"/>
  <c r="D157" i="7"/>
  <c r="C157" i="7"/>
  <c r="B55" i="7"/>
  <c r="B158" i="7"/>
  <c r="AB81" i="5"/>
  <c r="AB80" i="5"/>
  <c r="AB79" i="5"/>
  <c r="AB77" i="5"/>
  <c r="AB78" i="5"/>
  <c r="AB10" i="5" l="1"/>
  <c r="AB28" i="5"/>
  <c r="AB12" i="5"/>
  <c r="AB30" i="5"/>
  <c r="AB11" i="5"/>
  <c r="AB29" i="5"/>
  <c r="AB9" i="5"/>
  <c r="AB27" i="5"/>
  <c r="AB13" i="5"/>
  <c r="AB31" i="5"/>
  <c r="S52" i="7"/>
  <c r="S155" i="7"/>
  <c r="T154" i="7"/>
  <c r="E157" i="7"/>
  <c r="C158" i="7"/>
  <c r="D158" i="7"/>
  <c r="B56" i="7"/>
  <c r="B159" i="7"/>
  <c r="AC80" i="5"/>
  <c r="AC81" i="5"/>
  <c r="AC79" i="5"/>
  <c r="AC77" i="5"/>
  <c r="AC78" i="5"/>
  <c r="AC13" i="5" l="1"/>
  <c r="AC31" i="5"/>
  <c r="AC9" i="5"/>
  <c r="AC27" i="5"/>
  <c r="AC12" i="5"/>
  <c r="AC30" i="5"/>
  <c r="AC10" i="5"/>
  <c r="AC28" i="5"/>
  <c r="AC11" i="5"/>
  <c r="AC29" i="5"/>
  <c r="T155" i="7"/>
  <c r="S53" i="7"/>
  <c r="S156" i="7"/>
  <c r="F157" i="7"/>
  <c r="E158" i="7"/>
  <c r="D159" i="7"/>
  <c r="C159" i="7"/>
  <c r="B57" i="7"/>
  <c r="B160" i="7"/>
  <c r="AD80" i="5"/>
  <c r="AD81" i="5"/>
  <c r="AD78" i="5"/>
  <c r="AD79" i="5"/>
  <c r="AD77" i="5"/>
  <c r="AD10" i="5" l="1"/>
  <c r="AD28" i="5"/>
  <c r="AD9" i="5"/>
  <c r="AD27" i="5"/>
  <c r="AD13" i="5"/>
  <c r="AD31" i="5"/>
  <c r="AD11" i="5"/>
  <c r="AD29" i="5"/>
  <c r="AD12" i="5"/>
  <c r="AD30" i="5"/>
  <c r="T156" i="7"/>
  <c r="S54" i="7"/>
  <c r="S157" i="7"/>
  <c r="F158" i="7"/>
  <c r="E159" i="7"/>
  <c r="C160" i="7"/>
  <c r="D160" i="7"/>
  <c r="B58" i="7"/>
  <c r="B161" i="7"/>
  <c r="AE81" i="5"/>
  <c r="AE78" i="5"/>
  <c r="AE79" i="5"/>
  <c r="AE77" i="5"/>
  <c r="AE80" i="5"/>
  <c r="AE10" i="5" l="1"/>
  <c r="AE28" i="5"/>
  <c r="AE12" i="5"/>
  <c r="AE30" i="5"/>
  <c r="AE9" i="5"/>
  <c r="AE27" i="5"/>
  <c r="AE13" i="5"/>
  <c r="AE31" i="5"/>
  <c r="AE11" i="5"/>
  <c r="AE29" i="5"/>
  <c r="T157" i="7"/>
  <c r="S55" i="7"/>
  <c r="S158" i="7"/>
  <c r="F159" i="7"/>
  <c r="E160" i="7"/>
  <c r="D161" i="7"/>
  <c r="C161" i="7"/>
  <c r="B59" i="7"/>
  <c r="B162" i="7"/>
  <c r="AF81" i="5"/>
  <c r="AF80" i="5"/>
  <c r="AF79" i="5"/>
  <c r="AF77" i="5"/>
  <c r="AF78" i="5"/>
  <c r="AF10" i="5" l="1"/>
  <c r="AF28" i="5"/>
  <c r="AF12" i="5"/>
  <c r="AF30" i="5"/>
  <c r="AF9" i="5"/>
  <c r="AF27" i="5"/>
  <c r="AF13" i="5"/>
  <c r="AF31" i="5"/>
  <c r="AF11" i="5"/>
  <c r="AF29" i="5"/>
  <c r="T158" i="7"/>
  <c r="S56" i="7"/>
  <c r="S159" i="7"/>
  <c r="F160" i="7"/>
  <c r="E161" i="7"/>
  <c r="C162" i="7"/>
  <c r="D162" i="7"/>
  <c r="B60" i="7"/>
  <c r="B163" i="7"/>
  <c r="AG80" i="5"/>
  <c r="AG79" i="5"/>
  <c r="AG77" i="5"/>
  <c r="AG78" i="5"/>
  <c r="AG76" i="5"/>
  <c r="AG81" i="5"/>
  <c r="AG10" i="5" l="1"/>
  <c r="AG28" i="5"/>
  <c r="AG11" i="5"/>
  <c r="AG29" i="5"/>
  <c r="AG13" i="5"/>
  <c r="AG31" i="5"/>
  <c r="AG12" i="5"/>
  <c r="AG30" i="5"/>
  <c r="AG8" i="5"/>
  <c r="AG26" i="5"/>
  <c r="AG9" i="5"/>
  <c r="AG27" i="5"/>
  <c r="T159" i="7"/>
  <c r="S57" i="7"/>
  <c r="S160" i="7"/>
  <c r="F161" i="7"/>
  <c r="E162" i="7"/>
  <c r="D163" i="7"/>
  <c r="C163" i="7"/>
  <c r="B61" i="7"/>
  <c r="B164" i="7"/>
  <c r="AH80" i="5"/>
  <c r="AH81" i="5"/>
  <c r="AH78" i="5"/>
  <c r="AH76" i="5"/>
  <c r="AH79" i="5"/>
  <c r="AH77" i="5"/>
  <c r="AH29" i="5" l="1"/>
  <c r="F29" i="5" s="1"/>
  <c r="F79" i="5"/>
  <c r="AH30" i="5"/>
  <c r="F80" i="5"/>
  <c r="AH28" i="5"/>
  <c r="F28" i="5" s="1"/>
  <c r="F78" i="5"/>
  <c r="AH27" i="5"/>
  <c r="F77" i="5"/>
  <c r="AH31" i="5"/>
  <c r="F81" i="5"/>
  <c r="AH8" i="5"/>
  <c r="AH26" i="5"/>
  <c r="T160" i="7"/>
  <c r="S58" i="7"/>
  <c r="S161" i="7"/>
  <c r="F162" i="7"/>
  <c r="E163" i="7"/>
  <c r="C164" i="7"/>
  <c r="D164" i="7"/>
  <c r="B62" i="7"/>
  <c r="B165" i="7"/>
  <c r="AH10" i="5"/>
  <c r="AH13" i="5"/>
  <c r="AH12" i="5"/>
  <c r="AH9" i="5"/>
  <c r="AH11" i="5"/>
  <c r="F27" i="5" l="1"/>
  <c r="F30" i="5"/>
  <c r="F31" i="5"/>
  <c r="T161" i="7"/>
  <c r="S59" i="7"/>
  <c r="S162" i="7"/>
  <c r="U161" i="7"/>
  <c r="F163" i="7"/>
  <c r="E164" i="7"/>
  <c r="D165" i="7"/>
  <c r="C165" i="7"/>
  <c r="B63" i="7"/>
  <c r="B166" i="7"/>
  <c r="V161" i="7" l="1"/>
  <c r="S60" i="7"/>
  <c r="S163" i="7"/>
  <c r="T162" i="7"/>
  <c r="U162" i="7"/>
  <c r="U160" i="7"/>
  <c r="V160" i="7" s="1"/>
  <c r="F164" i="7"/>
  <c r="E165" i="7"/>
  <c r="B64" i="7"/>
  <c r="B167" i="7"/>
  <c r="C166" i="7"/>
  <c r="D166" i="7"/>
  <c r="W161" i="7" l="1"/>
  <c r="V162" i="7"/>
  <c r="W162" i="7" s="1"/>
  <c r="T163" i="7"/>
  <c r="U163" i="7"/>
  <c r="S61" i="7"/>
  <c r="S164" i="7"/>
  <c r="U159" i="7"/>
  <c r="V159" i="7" s="1"/>
  <c r="W160" i="7" s="1"/>
  <c r="F165" i="7"/>
  <c r="E166" i="7"/>
  <c r="B65" i="7"/>
  <c r="B168" i="7"/>
  <c r="D167" i="7"/>
  <c r="C167" i="7"/>
  <c r="V163" i="7" l="1"/>
  <c r="W163" i="7" s="1"/>
  <c r="T164" i="7"/>
  <c r="U164" i="7"/>
  <c r="S62" i="7"/>
  <c r="S165" i="7"/>
  <c r="U158" i="7"/>
  <c r="V158" i="7" s="1"/>
  <c r="W159" i="7" s="1"/>
  <c r="F166" i="7"/>
  <c r="E167" i="7"/>
  <c r="C168" i="7"/>
  <c r="D168" i="7"/>
  <c r="B66" i="7"/>
  <c r="B169" i="7"/>
  <c r="V164" i="7" l="1"/>
  <c r="W164" i="7" s="1"/>
  <c r="T165" i="7"/>
  <c r="U165" i="7"/>
  <c r="S63" i="7"/>
  <c r="S166" i="7"/>
  <c r="U157" i="7"/>
  <c r="V157" i="7" s="1"/>
  <c r="W158" i="7" s="1"/>
  <c r="F167" i="7"/>
  <c r="E168" i="7"/>
  <c r="D169" i="7"/>
  <c r="C169" i="7"/>
  <c r="B67" i="7"/>
  <c r="B170" i="7"/>
  <c r="V165" i="7" l="1"/>
  <c r="T166" i="7"/>
  <c r="U166" i="7"/>
  <c r="S64" i="7"/>
  <c r="S167" i="7"/>
  <c r="U156" i="7"/>
  <c r="V156" i="7" s="1"/>
  <c r="F168" i="7"/>
  <c r="E169" i="7"/>
  <c r="B68" i="7"/>
  <c r="B171" i="7"/>
  <c r="C170" i="7"/>
  <c r="D170" i="7"/>
  <c r="V166" i="7" l="1"/>
  <c r="W166" i="7" s="1"/>
  <c r="T167" i="7"/>
  <c r="U167" i="7"/>
  <c r="S65" i="7"/>
  <c r="S168" i="7"/>
  <c r="W165" i="7"/>
  <c r="U155" i="7"/>
  <c r="V155" i="7" s="1"/>
  <c r="W156" i="7" s="1"/>
  <c r="W157" i="7"/>
  <c r="F169" i="7"/>
  <c r="E170" i="7"/>
  <c r="D171" i="7"/>
  <c r="C171" i="7"/>
  <c r="B69" i="7"/>
  <c r="B172" i="7"/>
  <c r="V167" i="7" l="1"/>
  <c r="W167" i="7" s="1"/>
  <c r="U168" i="7"/>
  <c r="T168" i="7"/>
  <c r="S66" i="7"/>
  <c r="S169" i="7"/>
  <c r="U154" i="7"/>
  <c r="V154" i="7" s="1"/>
  <c r="W155" i="7" s="1"/>
  <c r="F170" i="7"/>
  <c r="E171" i="7"/>
  <c r="C172" i="7"/>
  <c r="D172" i="7"/>
  <c r="B70" i="7"/>
  <c r="B173" i="7"/>
  <c r="U169" i="7" l="1"/>
  <c r="T169" i="7"/>
  <c r="V168" i="7"/>
  <c r="S67" i="7"/>
  <c r="S170" i="7"/>
  <c r="U153" i="7"/>
  <c r="V153" i="7" s="1"/>
  <c r="W154" i="7" s="1"/>
  <c r="F171" i="7"/>
  <c r="E172" i="7"/>
  <c r="D173" i="7"/>
  <c r="C173" i="7"/>
  <c r="B71" i="7"/>
  <c r="B174" i="7"/>
  <c r="V169" i="7" l="1"/>
  <c r="W169" i="7" s="1"/>
  <c r="W168" i="7"/>
  <c r="U170" i="7"/>
  <c r="T170" i="7"/>
  <c r="S68" i="7"/>
  <c r="S171" i="7"/>
  <c r="U152" i="7"/>
  <c r="V152" i="7" s="1"/>
  <c r="W153" i="7" s="1"/>
  <c r="F172" i="7"/>
  <c r="E173" i="7"/>
  <c r="C174" i="7"/>
  <c r="D174" i="7"/>
  <c r="B72" i="7"/>
  <c r="B175" i="7"/>
  <c r="V170" i="7" l="1"/>
  <c r="W170" i="7" s="1"/>
  <c r="U171" i="7"/>
  <c r="T171" i="7"/>
  <c r="S69" i="7"/>
  <c r="S172" i="7"/>
  <c r="U151" i="7"/>
  <c r="V151" i="7" s="1"/>
  <c r="W152" i="7" s="1"/>
  <c r="F173" i="7"/>
  <c r="E174" i="7"/>
  <c r="D175" i="7"/>
  <c r="C175" i="7"/>
  <c r="B73" i="7"/>
  <c r="B176" i="7"/>
  <c r="V171" i="7" l="1"/>
  <c r="W171" i="7" s="1"/>
  <c r="U172" i="7"/>
  <c r="T172" i="7"/>
  <c r="S70" i="7"/>
  <c r="S173" i="7"/>
  <c r="U150" i="7"/>
  <c r="V150" i="7" s="1"/>
  <c r="W151" i="7" s="1"/>
  <c r="F174" i="7"/>
  <c r="E175" i="7"/>
  <c r="C176" i="7"/>
  <c r="D176" i="7"/>
  <c r="B74" i="7"/>
  <c r="B177" i="7"/>
  <c r="U173" i="7" l="1"/>
  <c r="T173" i="7"/>
  <c r="V172" i="7"/>
  <c r="S71" i="7"/>
  <c r="S174" i="7"/>
  <c r="U149" i="7"/>
  <c r="V149" i="7" s="1"/>
  <c r="W150" i="7" s="1"/>
  <c r="F175" i="7"/>
  <c r="E176" i="7"/>
  <c r="D177" i="7"/>
  <c r="C177" i="7"/>
  <c r="B75" i="7"/>
  <c r="B178" i="7"/>
  <c r="V173" i="7" l="1"/>
  <c r="W173" i="7" s="1"/>
  <c r="U174" i="7"/>
  <c r="T174" i="7"/>
  <c r="S72" i="7"/>
  <c r="S175" i="7"/>
  <c r="W172" i="7"/>
  <c r="U148" i="7"/>
  <c r="V148" i="7" s="1"/>
  <c r="W149" i="7" s="1"/>
  <c r="F176" i="7"/>
  <c r="E177" i="7"/>
  <c r="C178" i="7"/>
  <c r="D178" i="7"/>
  <c r="B76" i="7"/>
  <c r="B179" i="7"/>
  <c r="V174" i="7" l="1"/>
  <c r="W174" i="7" s="1"/>
  <c r="S73" i="7"/>
  <c r="S176" i="7"/>
  <c r="U175" i="7"/>
  <c r="T175" i="7"/>
  <c r="U147" i="7"/>
  <c r="V147" i="7" s="1"/>
  <c r="W148" i="7" s="1"/>
  <c r="F177" i="7"/>
  <c r="E178" i="7"/>
  <c r="D179" i="7"/>
  <c r="C179" i="7"/>
  <c r="B77" i="7"/>
  <c r="B180" i="7"/>
  <c r="V175" i="7" l="1"/>
  <c r="W175" i="7" s="1"/>
  <c r="S74" i="7"/>
  <c r="S177" i="7"/>
  <c r="U176" i="7"/>
  <c r="T176" i="7"/>
  <c r="U146" i="7"/>
  <c r="V146" i="7" s="1"/>
  <c r="W147" i="7" s="1"/>
  <c r="F178" i="7"/>
  <c r="E179" i="7"/>
  <c r="C180" i="7"/>
  <c r="D180" i="7"/>
  <c r="B78" i="7"/>
  <c r="B181" i="7"/>
  <c r="V176" i="7" l="1"/>
  <c r="U177" i="7"/>
  <c r="T177" i="7"/>
  <c r="S75" i="7"/>
  <c r="S178" i="7"/>
  <c r="U145" i="7"/>
  <c r="V145" i="7" s="1"/>
  <c r="W146" i="7" s="1"/>
  <c r="F179" i="7"/>
  <c r="E180" i="7"/>
  <c r="F180" i="7" s="1"/>
  <c r="D181" i="7"/>
  <c r="C181" i="7"/>
  <c r="B79" i="7"/>
  <c r="B182" i="7"/>
  <c r="V177" i="7" l="1"/>
  <c r="W177" i="7" s="1"/>
  <c r="S76" i="7"/>
  <c r="S179" i="7"/>
  <c r="U178" i="7"/>
  <c r="T178" i="7"/>
  <c r="W176" i="7"/>
  <c r="U144" i="7"/>
  <c r="V144" i="7" s="1"/>
  <c r="W145" i="7" s="1"/>
  <c r="E181" i="7"/>
  <c r="F181" i="7" s="1"/>
  <c r="C182" i="7"/>
  <c r="D182" i="7"/>
  <c r="B80" i="7"/>
  <c r="B183" i="7"/>
  <c r="V178" i="7" l="1"/>
  <c r="W178" i="7" s="1"/>
  <c r="S77" i="7"/>
  <c r="S180" i="7"/>
  <c r="U179" i="7"/>
  <c r="T179" i="7"/>
  <c r="U143" i="7"/>
  <c r="V143" i="7" s="1"/>
  <c r="W144" i="7" s="1"/>
  <c r="E182" i="7"/>
  <c r="D183" i="7"/>
  <c r="C183" i="7"/>
  <c r="B81" i="7"/>
  <c r="B184" i="7"/>
  <c r="V179" i="7" l="1"/>
  <c r="W179" i="7" s="1"/>
  <c r="U180" i="7"/>
  <c r="T180" i="7"/>
  <c r="S78" i="7"/>
  <c r="S181" i="7"/>
  <c r="U142" i="7"/>
  <c r="V142" i="7" s="1"/>
  <c r="W143" i="7" s="1"/>
  <c r="F182" i="7"/>
  <c r="E183" i="7"/>
  <c r="C184" i="7"/>
  <c r="D184" i="7"/>
  <c r="B82" i="7"/>
  <c r="B185" i="7"/>
  <c r="V180" i="7" l="1"/>
  <c r="W180" i="7" s="1"/>
  <c r="U181" i="7"/>
  <c r="T181" i="7"/>
  <c r="S79" i="7"/>
  <c r="S182" i="7"/>
  <c r="U141" i="7"/>
  <c r="V141" i="7" s="1"/>
  <c r="W142" i="7" s="1"/>
  <c r="F183" i="7"/>
  <c r="E184" i="7"/>
  <c r="F184" i="7" s="1"/>
  <c r="D185" i="7"/>
  <c r="C185" i="7"/>
  <c r="B83" i="7"/>
  <c r="B186" i="7"/>
  <c r="V181" i="7" l="1"/>
  <c r="U182" i="7"/>
  <c r="T182" i="7"/>
  <c r="S80" i="7"/>
  <c r="S183" i="7"/>
  <c r="U140" i="7"/>
  <c r="V140" i="7" s="1"/>
  <c r="W141" i="7" s="1"/>
  <c r="E185" i="7"/>
  <c r="C186" i="7"/>
  <c r="D186" i="7"/>
  <c r="B84" i="7"/>
  <c r="B187" i="7"/>
  <c r="V182" i="7" l="1"/>
  <c r="W182" i="7" s="1"/>
  <c r="W181" i="7"/>
  <c r="U183" i="7"/>
  <c r="T183" i="7"/>
  <c r="S81" i="7"/>
  <c r="S184" i="7"/>
  <c r="U139" i="7"/>
  <c r="V139" i="7" s="1"/>
  <c r="W140" i="7" s="1"/>
  <c r="F185" i="7"/>
  <c r="E186" i="7"/>
  <c r="D187" i="7"/>
  <c r="C187" i="7"/>
  <c r="B85" i="7"/>
  <c r="B188" i="7"/>
  <c r="V183" i="7" l="1"/>
  <c r="W183" i="7" s="1"/>
  <c r="U184" i="7"/>
  <c r="T184" i="7"/>
  <c r="S82" i="7"/>
  <c r="S185" i="7"/>
  <c r="U138" i="7"/>
  <c r="V138" i="7" s="1"/>
  <c r="W139" i="7" s="1"/>
  <c r="F186" i="7"/>
  <c r="E187" i="7"/>
  <c r="C188" i="7"/>
  <c r="D188" i="7"/>
  <c r="B86" i="7"/>
  <c r="B189" i="7"/>
  <c r="V184" i="7" l="1"/>
  <c r="W184" i="7" s="1"/>
  <c r="S83" i="7"/>
  <c r="S186" i="7"/>
  <c r="U185" i="7"/>
  <c r="T185" i="7"/>
  <c r="U137" i="7"/>
  <c r="V137" i="7" s="1"/>
  <c r="W138" i="7" s="1"/>
  <c r="F187" i="7"/>
  <c r="E188" i="7"/>
  <c r="D189" i="7"/>
  <c r="C189" i="7"/>
  <c r="B87" i="7"/>
  <c r="B190" i="7"/>
  <c r="V185" i="7" l="1"/>
  <c r="W185" i="7" s="1"/>
  <c r="U186" i="7"/>
  <c r="T186" i="7"/>
  <c r="S84" i="7"/>
  <c r="S187" i="7"/>
  <c r="U136" i="7"/>
  <c r="V136" i="7" s="1"/>
  <c r="W137" i="7" s="1"/>
  <c r="F188" i="7"/>
  <c r="E189" i="7"/>
  <c r="C190" i="7"/>
  <c r="D190" i="7"/>
  <c r="B88" i="7"/>
  <c r="B191" i="7"/>
  <c r="V186" i="7" l="1"/>
  <c r="W186" i="7" s="1"/>
  <c r="U187" i="7"/>
  <c r="T187" i="7"/>
  <c r="S85" i="7"/>
  <c r="S188" i="7"/>
  <c r="U135" i="7"/>
  <c r="V135" i="7" s="1"/>
  <c r="W136" i="7" s="1"/>
  <c r="F189" i="7"/>
  <c r="E190" i="7"/>
  <c r="D191" i="7"/>
  <c r="C191" i="7"/>
  <c r="B89" i="7"/>
  <c r="B192" i="7"/>
  <c r="V187" i="7" l="1"/>
  <c r="W187" i="7" s="1"/>
  <c r="U188" i="7"/>
  <c r="T188" i="7"/>
  <c r="S86" i="7"/>
  <c r="S189" i="7"/>
  <c r="U134" i="7"/>
  <c r="V134" i="7" s="1"/>
  <c r="W135" i="7" s="1"/>
  <c r="F190" i="7"/>
  <c r="E191" i="7"/>
  <c r="F191" i="7" s="1"/>
  <c r="C192" i="7"/>
  <c r="D192" i="7"/>
  <c r="B90" i="7"/>
  <c r="B193" i="7"/>
  <c r="U189" i="7" l="1"/>
  <c r="T189" i="7"/>
  <c r="S87" i="7"/>
  <c r="S190" i="7"/>
  <c r="V188" i="7"/>
  <c r="U133" i="7"/>
  <c r="V133" i="7" s="1"/>
  <c r="W134" i="7" s="1"/>
  <c r="E192" i="7"/>
  <c r="D193" i="7"/>
  <c r="C193" i="7"/>
  <c r="B91" i="7"/>
  <c r="B194" i="7"/>
  <c r="V189" i="7" l="1"/>
  <c r="W189" i="7" s="1"/>
  <c r="W188" i="7"/>
  <c r="U190" i="7"/>
  <c r="T190" i="7"/>
  <c r="S88" i="7"/>
  <c r="S191" i="7"/>
  <c r="U132" i="7"/>
  <c r="V132" i="7" s="1"/>
  <c r="W133" i="7" s="1"/>
  <c r="F192" i="7"/>
  <c r="E193" i="7"/>
  <c r="F193" i="7" s="1"/>
  <c r="C194" i="7"/>
  <c r="D194" i="7"/>
  <c r="B92" i="7"/>
  <c r="B195" i="7"/>
  <c r="V190" i="7" l="1"/>
  <c r="W190" i="7" s="1"/>
  <c r="U191" i="7"/>
  <c r="T191" i="7"/>
  <c r="S89" i="7"/>
  <c r="S192" i="7"/>
  <c r="U131" i="7"/>
  <c r="V131" i="7" s="1"/>
  <c r="W132" i="7" s="1"/>
  <c r="E194" i="7"/>
  <c r="F194" i="7" s="1"/>
  <c r="D195" i="7"/>
  <c r="C195" i="7"/>
  <c r="B93" i="7"/>
  <c r="B196" i="7"/>
  <c r="S90" i="7" l="1"/>
  <c r="S193" i="7"/>
  <c r="U192" i="7"/>
  <c r="T192" i="7"/>
  <c r="V191" i="7"/>
  <c r="W191" i="7" s="1"/>
  <c r="U130" i="7"/>
  <c r="V130" i="7" s="1"/>
  <c r="W131" i="7" s="1"/>
  <c r="E195" i="7"/>
  <c r="F195" i="7" s="1"/>
  <c r="C196" i="7"/>
  <c r="D196" i="7"/>
  <c r="B94" i="7"/>
  <c r="B197" i="7"/>
  <c r="S91" i="7" l="1"/>
  <c r="S194" i="7"/>
  <c r="V192" i="7"/>
  <c r="U193" i="7"/>
  <c r="T193" i="7"/>
  <c r="U129" i="7"/>
  <c r="V129" i="7" s="1"/>
  <c r="W130" i="7" s="1"/>
  <c r="E196" i="7"/>
  <c r="F196" i="7" s="1"/>
  <c r="D197" i="7"/>
  <c r="C197" i="7"/>
  <c r="B95" i="7"/>
  <c r="B198" i="7"/>
  <c r="V193" i="7" l="1"/>
  <c r="W193" i="7" s="1"/>
  <c r="W192" i="7"/>
  <c r="U194" i="7"/>
  <c r="T194" i="7"/>
  <c r="S92" i="7"/>
  <c r="S195" i="7"/>
  <c r="U128" i="7"/>
  <c r="V128" i="7" s="1"/>
  <c r="W129" i="7" s="1"/>
  <c r="E197" i="7"/>
  <c r="F197" i="7" s="1"/>
  <c r="C198" i="7"/>
  <c r="D198" i="7"/>
  <c r="B96" i="7"/>
  <c r="B199" i="7"/>
  <c r="V194" i="7" l="1"/>
  <c r="W194" i="7" s="1"/>
  <c r="U195" i="7"/>
  <c r="T195" i="7"/>
  <c r="S93" i="7"/>
  <c r="S196" i="7"/>
  <c r="U127" i="7"/>
  <c r="V127" i="7" s="1"/>
  <c r="W128" i="7" s="1"/>
  <c r="E198" i="7"/>
  <c r="D199" i="7"/>
  <c r="C199" i="7"/>
  <c r="B97" i="7"/>
  <c r="B200" i="7"/>
  <c r="U196" i="7" l="1"/>
  <c r="T196" i="7"/>
  <c r="V195" i="7"/>
  <c r="S94" i="7"/>
  <c r="S197" i="7"/>
  <c r="U126" i="7"/>
  <c r="V126" i="7" s="1"/>
  <c r="W127" i="7" s="1"/>
  <c r="F198" i="7"/>
  <c r="E199" i="7"/>
  <c r="C200" i="7"/>
  <c r="D200" i="7"/>
  <c r="B98" i="7"/>
  <c r="B201" i="7"/>
  <c r="W195" i="7" l="1"/>
  <c r="U197" i="7"/>
  <c r="T197" i="7"/>
  <c r="V196" i="7"/>
  <c r="S95" i="7"/>
  <c r="S198" i="7"/>
  <c r="U125" i="7"/>
  <c r="V125" i="7" s="1"/>
  <c r="W126" i="7" s="1"/>
  <c r="F199" i="7"/>
  <c r="E200" i="7"/>
  <c r="D201" i="7"/>
  <c r="C201" i="7"/>
  <c r="B99" i="7"/>
  <c r="B202" i="7"/>
  <c r="S96" i="7" l="1"/>
  <c r="S199" i="7"/>
  <c r="U198" i="7"/>
  <c r="T198" i="7"/>
  <c r="V197" i="7"/>
  <c r="W197" i="7" s="1"/>
  <c r="W196" i="7"/>
  <c r="U124" i="7"/>
  <c r="V124" i="7" s="1"/>
  <c r="W125" i="7" s="1"/>
  <c r="F200" i="7"/>
  <c r="E201" i="7"/>
  <c r="C202" i="7"/>
  <c r="D202" i="7"/>
  <c r="B100" i="7"/>
  <c r="B203" i="7"/>
  <c r="V198" i="7" l="1"/>
  <c r="W198" i="7" s="1"/>
  <c r="U199" i="7"/>
  <c r="T199" i="7"/>
  <c r="S97" i="7"/>
  <c r="S200" i="7"/>
  <c r="U123" i="7"/>
  <c r="V123" i="7" s="1"/>
  <c r="W124" i="7" s="1"/>
  <c r="F201" i="7"/>
  <c r="E202" i="7"/>
  <c r="F202" i="7" s="1"/>
  <c r="D203" i="7"/>
  <c r="C203" i="7"/>
  <c r="B101" i="7"/>
  <c r="B204" i="7"/>
  <c r="U200" i="7" l="1"/>
  <c r="T200" i="7"/>
  <c r="V199" i="7"/>
  <c r="S98" i="7"/>
  <c r="S201" i="7"/>
  <c r="U122" i="7"/>
  <c r="V122" i="7" s="1"/>
  <c r="W123" i="7" s="1"/>
  <c r="E203" i="7"/>
  <c r="F203" i="7" s="1"/>
  <c r="C204" i="7"/>
  <c r="D204" i="7"/>
  <c r="B102" i="7"/>
  <c r="B205" i="7"/>
  <c r="V200" i="7" l="1"/>
  <c r="W200" i="7" s="1"/>
  <c r="U201" i="7"/>
  <c r="T201" i="7"/>
  <c r="S99" i="7"/>
  <c r="S202" i="7"/>
  <c r="W199" i="7"/>
  <c r="U121" i="7"/>
  <c r="V121" i="7" s="1"/>
  <c r="W122" i="7" s="1"/>
  <c r="E204" i="7"/>
  <c r="F204" i="7" s="1"/>
  <c r="D205" i="7"/>
  <c r="C205" i="7"/>
  <c r="B103" i="7"/>
  <c r="B206" i="7"/>
  <c r="V201" i="7" l="1"/>
  <c r="W201" i="7" s="1"/>
  <c r="U202" i="7"/>
  <c r="T202" i="7"/>
  <c r="S100" i="7"/>
  <c r="S203" i="7"/>
  <c r="U120" i="7"/>
  <c r="V120" i="7" s="1"/>
  <c r="W121" i="7" s="1"/>
  <c r="E205" i="7"/>
  <c r="F205" i="7" s="1"/>
  <c r="C206" i="7"/>
  <c r="D206" i="7"/>
  <c r="B104" i="7"/>
  <c r="B207" i="7"/>
  <c r="V202" i="7" l="1"/>
  <c r="W202" i="7" s="1"/>
  <c r="S101" i="7"/>
  <c r="S204" i="7"/>
  <c r="U203" i="7"/>
  <c r="T203" i="7"/>
  <c r="U118" i="7"/>
  <c r="V118" i="7" s="1"/>
  <c r="U119" i="7"/>
  <c r="V119" i="7" s="1"/>
  <c r="W120" i="7" s="1"/>
  <c r="E206" i="7"/>
  <c r="F206" i="7" s="1"/>
  <c r="D207" i="7"/>
  <c r="C207" i="7"/>
  <c r="B105" i="7"/>
  <c r="B208" i="7"/>
  <c r="V203" i="7" l="1"/>
  <c r="U204" i="7"/>
  <c r="T204" i="7"/>
  <c r="S102" i="7"/>
  <c r="S205" i="7"/>
  <c r="W119" i="7"/>
  <c r="E207" i="7"/>
  <c r="F207" i="7" s="1"/>
  <c r="C208" i="7"/>
  <c r="D208" i="7"/>
  <c r="B106" i="7"/>
  <c r="B209" i="7"/>
  <c r="S103" i="7" l="1"/>
  <c r="S206" i="7"/>
  <c r="W203" i="7"/>
  <c r="V204" i="7"/>
  <c r="U205" i="7"/>
  <c r="T205" i="7"/>
  <c r="E208" i="7"/>
  <c r="F208" i="7" s="1"/>
  <c r="D209" i="7"/>
  <c r="C209" i="7"/>
  <c r="B107" i="7"/>
  <c r="B210" i="7"/>
  <c r="V205" i="7" l="1"/>
  <c r="W205" i="7" s="1"/>
  <c r="U206" i="7"/>
  <c r="T206" i="7"/>
  <c r="W204" i="7"/>
  <c r="S104" i="7"/>
  <c r="S207" i="7"/>
  <c r="E209" i="7"/>
  <c r="F209" i="7" s="1"/>
  <c r="C210" i="7"/>
  <c r="D210" i="7"/>
  <c r="B108" i="7"/>
  <c r="B211" i="7"/>
  <c r="S105" i="7" l="1"/>
  <c r="S208" i="7"/>
  <c r="U207" i="7"/>
  <c r="T207" i="7"/>
  <c r="V206" i="7"/>
  <c r="E210" i="7"/>
  <c r="F210" i="7" s="1"/>
  <c r="D211" i="7"/>
  <c r="C211" i="7"/>
  <c r="B109" i="7"/>
  <c r="B212" i="7"/>
  <c r="V207" i="7" l="1"/>
  <c r="S106" i="7"/>
  <c r="S209" i="7"/>
  <c r="W206" i="7"/>
  <c r="U208" i="7"/>
  <c r="T208" i="7"/>
  <c r="E211" i="7"/>
  <c r="F211" i="7" s="1"/>
  <c r="C212" i="7"/>
  <c r="D212" i="7"/>
  <c r="B110" i="7"/>
  <c r="B213" i="7"/>
  <c r="V208" i="7" l="1"/>
  <c r="W208" i="7" s="1"/>
  <c r="U209" i="7"/>
  <c r="T209" i="7"/>
  <c r="W207" i="7"/>
  <c r="S107" i="7"/>
  <c r="S210" i="7"/>
  <c r="E212" i="7"/>
  <c r="D213" i="7"/>
  <c r="C213" i="7"/>
  <c r="B111" i="7"/>
  <c r="B214" i="7"/>
  <c r="U210" i="7" l="1"/>
  <c r="T210" i="7"/>
  <c r="S108" i="7"/>
  <c r="S211" i="7"/>
  <c r="V209" i="7"/>
  <c r="F212" i="7"/>
  <c r="E213" i="7"/>
  <c r="C214" i="7"/>
  <c r="D214" i="7"/>
  <c r="B112" i="7"/>
  <c r="B215" i="7"/>
  <c r="V210" i="7" l="1"/>
  <c r="W210" i="7" s="1"/>
  <c r="W209" i="7"/>
  <c r="U211" i="7"/>
  <c r="T211" i="7"/>
  <c r="S109" i="7"/>
  <c r="S212" i="7"/>
  <c r="F213" i="7"/>
  <c r="E214" i="7"/>
  <c r="D215" i="7"/>
  <c r="C215" i="7"/>
  <c r="B113" i="7"/>
  <c r="B216" i="7"/>
  <c r="V211" i="7" l="1"/>
  <c r="W211" i="7" s="1"/>
  <c r="U212" i="7"/>
  <c r="T212" i="7"/>
  <c r="S110" i="7"/>
  <c r="S213" i="7"/>
  <c r="F214" i="7"/>
  <c r="E215" i="7"/>
  <c r="C216" i="7"/>
  <c r="D216" i="7"/>
  <c r="B114" i="7"/>
  <c r="B218" i="7" s="1"/>
  <c r="B217" i="7"/>
  <c r="V212" i="7" l="1"/>
  <c r="W212" i="7" s="1"/>
  <c r="S111" i="7"/>
  <c r="S214" i="7"/>
  <c r="U213" i="7"/>
  <c r="T213" i="7"/>
  <c r="F215" i="7"/>
  <c r="E216" i="7"/>
  <c r="D217" i="7"/>
  <c r="C217" i="7"/>
  <c r="C218" i="7"/>
  <c r="D218" i="7"/>
  <c r="U214" i="7" l="1"/>
  <c r="T214" i="7"/>
  <c r="S112" i="7"/>
  <c r="S215" i="7"/>
  <c r="V213" i="7"/>
  <c r="W213" i="7" s="1"/>
  <c r="F216" i="7"/>
  <c r="E217" i="7"/>
  <c r="E218" i="7"/>
  <c r="V214" i="7" l="1"/>
  <c r="W214" i="7" s="1"/>
  <c r="U215" i="7"/>
  <c r="T215" i="7"/>
  <c r="S113" i="7"/>
  <c r="S216" i="7"/>
  <c r="F218" i="7"/>
  <c r="F217" i="7"/>
  <c r="S114" i="7" l="1"/>
  <c r="S218" i="7" s="1"/>
  <c r="S217" i="7"/>
  <c r="U216" i="7"/>
  <c r="T216" i="7"/>
  <c r="V215" i="7"/>
  <c r="W215" i="7" s="1"/>
  <c r="V216" i="7" l="1"/>
  <c r="W216" i="7" s="1"/>
  <c r="U217" i="7"/>
  <c r="T217" i="7"/>
  <c r="U218" i="7"/>
  <c r="T218" i="7"/>
  <c r="V218" i="7" l="1"/>
  <c r="V217" i="7"/>
  <c r="W217" i="7" s="1"/>
  <c r="W218" i="7" l="1"/>
  <c r="G19" i="5"/>
  <c r="F19" i="5" s="1"/>
  <c r="G11" i="5"/>
  <c r="G18" i="5"/>
  <c r="F18" i="5" s="1"/>
  <c r="F11" i="5" l="1"/>
  <c r="G12" i="5"/>
  <c r="F12" i="5" s="1"/>
  <c r="G9" i="5"/>
  <c r="G21" i="5"/>
  <c r="G22" i="5"/>
  <c r="F22" i="5" s="1"/>
  <c r="G17" i="5"/>
  <c r="F17" i="5" s="1"/>
  <c r="G13" i="5"/>
  <c r="F13" i="5" s="1"/>
  <c r="G10" i="5"/>
  <c r="G8" i="5"/>
  <c r="G20" i="5"/>
  <c r="F20" i="5" s="1"/>
  <c r="F9" i="5" l="1"/>
  <c r="F10" i="5"/>
  <c r="F21" i="5"/>
  <c r="L7" i="13" a="1"/>
  <c r="L7" i="13" s="1"/>
  <c r="M7" i="13" l="1"/>
  <c r="Q7" i="13"/>
  <c r="P7" i="13"/>
  <c r="N7" i="13"/>
  <c r="O7" i="13"/>
  <c r="M54" i="5"/>
  <c r="I39" i="5" l="1"/>
  <c r="F39" i="5" s="1"/>
  <c r="J76" i="5"/>
  <c r="AF76" i="5"/>
  <c r="I38" i="5"/>
  <c r="F38" i="5" s="1"/>
  <c r="AA53" i="5"/>
  <c r="Y76" i="5"/>
  <c r="AF53" i="5"/>
  <c r="AD53" i="5"/>
  <c r="AB53" i="5"/>
  <c r="Z53" i="5"/>
  <c r="X53" i="5"/>
  <c r="V53" i="5"/>
  <c r="T53" i="5"/>
  <c r="Q53" i="5"/>
  <c r="P53" i="5"/>
  <c r="N53" i="5"/>
  <c r="J53" i="5"/>
  <c r="AF54" i="5"/>
  <c r="AB54" i="5"/>
  <c r="X54" i="5"/>
  <c r="T54" i="5"/>
  <c r="P54" i="5"/>
  <c r="L54" i="5"/>
  <c r="I54" i="5"/>
  <c r="O53" i="5"/>
  <c r="M53" i="5"/>
  <c r="M67" i="5" s="1"/>
  <c r="AE54" i="5"/>
  <c r="AA54" i="5"/>
  <c r="W54" i="5"/>
  <c r="S54" i="5"/>
  <c r="O54" i="5"/>
  <c r="K54" i="5"/>
  <c r="AE53" i="5"/>
  <c r="AC53" i="5"/>
  <c r="Y53" i="5"/>
  <c r="U53" i="5"/>
  <c r="S53" i="5"/>
  <c r="R53" i="5"/>
  <c r="K53" i="5"/>
  <c r="AD54" i="5"/>
  <c r="Z54" i="5"/>
  <c r="V54" i="5"/>
  <c r="R54" i="5"/>
  <c r="N54" i="5"/>
  <c r="J54" i="5"/>
  <c r="W53" i="5"/>
  <c r="W67" i="5" s="1"/>
  <c r="I53" i="5"/>
  <c r="L53" i="5"/>
  <c r="AC54" i="5"/>
  <c r="Y54" i="5"/>
  <c r="U54" i="5"/>
  <c r="Q54" i="5"/>
  <c r="P67" i="5" l="1"/>
  <c r="O67" i="5"/>
  <c r="AE67" i="5"/>
  <c r="AA67" i="5"/>
  <c r="K67" i="5"/>
  <c r="S67" i="5"/>
  <c r="L67" i="5"/>
  <c r="N76" i="5"/>
  <c r="O76" i="5"/>
  <c r="O8" i="5" s="1"/>
  <c r="AC76" i="5"/>
  <c r="S76" i="5"/>
  <c r="Y67" i="5"/>
  <c r="P76" i="5"/>
  <c r="P26" i="5" s="1"/>
  <c r="F54" i="5"/>
  <c r="AA76" i="5"/>
  <c r="Q67" i="5"/>
  <c r="Z67" i="5"/>
  <c r="Z76" i="5"/>
  <c r="F53" i="5"/>
  <c r="I67" i="5"/>
  <c r="K76" i="5"/>
  <c r="AB76" i="5"/>
  <c r="L76" i="5"/>
  <c r="M76" i="5"/>
  <c r="M8" i="5" s="1"/>
  <c r="R67" i="5"/>
  <c r="AC67" i="5"/>
  <c r="X76" i="5"/>
  <c r="U76" i="5"/>
  <c r="AD76" i="5"/>
  <c r="J67" i="5"/>
  <c r="T67" i="5"/>
  <c r="AB67" i="5"/>
  <c r="W76" i="5"/>
  <c r="W8" i="5" s="1"/>
  <c r="T76" i="5"/>
  <c r="N67" i="5"/>
  <c r="V67" i="5"/>
  <c r="AD67" i="5"/>
  <c r="AE76" i="5"/>
  <c r="U67" i="5"/>
  <c r="Q76" i="5"/>
  <c r="V76" i="5"/>
  <c r="R76" i="5"/>
  <c r="X67" i="5"/>
  <c r="AF67" i="5"/>
  <c r="L8" i="5" l="1"/>
  <c r="AE8" i="5"/>
  <c r="O26" i="5"/>
  <c r="P8" i="5"/>
  <c r="AA8" i="5"/>
  <c r="S26" i="5"/>
  <c r="S8" i="5"/>
  <c r="M26" i="5"/>
  <c r="AD8" i="5"/>
  <c r="AD26" i="5"/>
  <c r="X8" i="5"/>
  <c r="X26" i="5"/>
  <c r="V8" i="5"/>
  <c r="V26" i="5"/>
  <c r="L26" i="5"/>
  <c r="Q8" i="5"/>
  <c r="Q26" i="5"/>
  <c r="U26" i="5"/>
  <c r="U8" i="5"/>
  <c r="N8" i="5"/>
  <c r="N26" i="5"/>
  <c r="AB8" i="5"/>
  <c r="AB26" i="5"/>
  <c r="F76" i="5"/>
  <c r="K26" i="5"/>
  <c r="AA26" i="5"/>
  <c r="AE26" i="5"/>
  <c r="T8" i="5"/>
  <c r="T26" i="5"/>
  <c r="AC8" i="5"/>
  <c r="AC26" i="5"/>
  <c r="Y8" i="5"/>
  <c r="Y26" i="5"/>
  <c r="W26" i="5"/>
  <c r="AF26" i="5"/>
  <c r="AF8" i="5"/>
  <c r="J8" i="5"/>
  <c r="J26" i="5"/>
  <c r="R26" i="5"/>
  <c r="R8" i="5"/>
  <c r="I8" i="5"/>
  <c r="I26" i="5"/>
  <c r="F67" i="5"/>
  <c r="Z8" i="5"/>
  <c r="Z26" i="5"/>
  <c r="K8" i="5"/>
  <c r="L5" i="13" l="1" a="1"/>
  <c r="L6" i="13" a="1"/>
  <c r="F26" i="5"/>
  <c r="F8" i="5"/>
  <c r="N6" i="13" l="1"/>
  <c r="O6" i="13"/>
  <c r="Q6" i="13"/>
  <c r="P6" i="13"/>
  <c r="M6" i="13"/>
  <c r="L6" i="13"/>
  <c r="O5" i="13"/>
  <c r="P5" i="13"/>
  <c r="Q5" i="13"/>
  <c r="N5" i="13"/>
  <c r="M5" i="13"/>
  <c r="C8" i="7" a="1"/>
  <c r="C5" i="13" a="1"/>
  <c r="C5" i="13" s="1"/>
  <c r="C8" i="8" a="1"/>
  <c r="C8" i="8" s="1"/>
  <c r="L5" i="13"/>
  <c r="N8" i="7" l="1"/>
  <c r="K8" i="7"/>
  <c r="I8" i="7"/>
  <c r="H8" i="7"/>
  <c r="P8" i="7"/>
  <c r="J8" i="7"/>
  <c r="E8" i="7"/>
  <c r="O8" i="7"/>
  <c r="Q8" i="7"/>
  <c r="G8" i="7"/>
  <c r="F8" i="7"/>
  <c r="M8" i="7"/>
  <c r="L8" i="7"/>
  <c r="D8" i="7"/>
  <c r="H8" i="8"/>
  <c r="L8" i="8"/>
  <c r="O8" i="8"/>
  <c r="J8" i="8"/>
  <c r="F8" i="8"/>
  <c r="M8" i="8"/>
  <c r="I8" i="8"/>
  <c r="G8" i="8"/>
  <c r="Q8" i="8"/>
  <c r="K8" i="8"/>
  <c r="E8" i="8"/>
  <c r="P8" i="8"/>
  <c r="N8" i="8"/>
  <c r="D8" i="8"/>
  <c r="C8" i="7"/>
  <c r="F5" i="13"/>
  <c r="E5" i="13"/>
  <c r="D5" i="13"/>
  <c r="G5" i="13"/>
  <c r="H5" i="13"/>
</calcChain>
</file>

<file path=xl/sharedStrings.xml><?xml version="1.0" encoding="utf-8"?>
<sst xmlns="http://schemas.openxmlformats.org/spreadsheetml/2006/main" count="715" uniqueCount="196">
  <si>
    <t>Calculation cell</t>
  </si>
  <si>
    <t>Input Cell</t>
  </si>
  <si>
    <t>Parameter Cell</t>
  </si>
  <si>
    <t>Output Cell</t>
  </si>
  <si>
    <t>Table Row Name</t>
  </si>
  <si>
    <t>General parameters</t>
  </si>
  <si>
    <t>Parameter</t>
  </si>
  <si>
    <t>Unit</t>
  </si>
  <si>
    <t>Value</t>
  </si>
  <si>
    <t>First year of analysis</t>
  </si>
  <si>
    <t>Year</t>
  </si>
  <si>
    <t>Analysis period</t>
  </si>
  <si>
    <t>Years</t>
  </si>
  <si>
    <t>Option name</t>
  </si>
  <si>
    <t>Number</t>
  </si>
  <si>
    <t>Base case</t>
  </si>
  <si>
    <t>Short description</t>
  </si>
  <si>
    <t>Capital cost</t>
  </si>
  <si>
    <t>Start year</t>
  </si>
  <si>
    <t>End year</t>
  </si>
  <si>
    <t>Asset life</t>
  </si>
  <si>
    <t>Amount</t>
  </si>
  <si>
    <t>Units</t>
  </si>
  <si>
    <t>Option descriptions</t>
  </si>
  <si>
    <t>Cost inputs</t>
  </si>
  <si>
    <t>Benefit inputs</t>
  </si>
  <si>
    <t>General parameter and option inputs</t>
  </si>
  <si>
    <t xml:space="preserve">Fuel consumption from generation dispatch </t>
  </si>
  <si>
    <t>[NER, rule 5.16.1(c)(4)(i)]</t>
  </si>
  <si>
    <t xml:space="preserve">Voluntary load curtailment </t>
  </si>
  <si>
    <t>[NER, rule 5.16.1(c)(4)(ii)]</t>
  </si>
  <si>
    <t>[NER, rule 5.16.1(c)(4)(iii)]</t>
  </si>
  <si>
    <t>[NER, rule 5.16.1(c)(4)(iv)]</t>
  </si>
  <si>
    <t>Note</t>
  </si>
  <si>
    <t>Inputs and parameters for RIT-T assessment</t>
  </si>
  <si>
    <t>$</t>
  </si>
  <si>
    <t>Net present value for each option</t>
  </si>
  <si>
    <t>PV</t>
  </si>
  <si>
    <t>NPV</t>
  </si>
  <si>
    <t>Low</t>
  </si>
  <si>
    <t>High</t>
  </si>
  <si>
    <t>Active</t>
  </si>
  <si>
    <t>Cost</t>
  </si>
  <si>
    <t>Cost sensitivities</t>
  </si>
  <si>
    <t>Discount rate sensitivities</t>
  </si>
  <si>
    <t>Scenario</t>
  </si>
  <si>
    <t>Sensitivity inputs</t>
  </si>
  <si>
    <t>Terminal value</t>
  </si>
  <si>
    <t>Capital outflow</t>
  </si>
  <si>
    <t>Calculating costs, benefits and NPV for each option</t>
  </si>
  <si>
    <t>General</t>
  </si>
  <si>
    <t>Incremental cost calculation</t>
  </si>
  <si>
    <t>Incremental benefit calculation</t>
  </si>
  <si>
    <t>Incremental net present value calculation</t>
  </si>
  <si>
    <t>Option</t>
  </si>
  <si>
    <t>Sensitivities</t>
  </si>
  <si>
    <t>NPV results</t>
  </si>
  <si>
    <t>Discount rate sensitivity</t>
  </si>
  <si>
    <t>Rate</t>
  </si>
  <si>
    <t>Capex component</t>
  </si>
  <si>
    <t>[NER, rule 5.16.1(c)(4)(v)]</t>
  </si>
  <si>
    <t>Percent</t>
  </si>
  <si>
    <t>Yes</t>
  </si>
  <si>
    <t>Capital cost sensitivity</t>
  </si>
  <si>
    <t>Thresholds</t>
  </si>
  <si>
    <t>Included in assessment?</t>
  </si>
  <si>
    <t>Difference in timing of unrelated expenditure</t>
  </si>
  <si>
    <t>Base year for dollar inputs</t>
  </si>
  <si>
    <t>Base</t>
  </si>
  <si>
    <t>User selection</t>
  </si>
  <si>
    <t>Legend applied throughout the model template</t>
  </si>
  <si>
    <t>User Interface</t>
  </si>
  <si>
    <t>Source</t>
  </si>
  <si>
    <t>[Do not insert or delete rows from this table]</t>
  </si>
  <si>
    <t>Threshold calculations</t>
  </si>
  <si>
    <t>Sensitivity calculations</t>
  </si>
  <si>
    <t>Tipping point</t>
  </si>
  <si>
    <t>Discount rate tipping point</t>
  </si>
  <si>
    <t>Capital cost tipping point</t>
  </si>
  <si>
    <t>Selection</t>
  </si>
  <si>
    <t>Involuntary load shedding</t>
  </si>
  <si>
    <t>Commercial discount rate</t>
  </si>
  <si>
    <t>Interface for user selection and results</t>
  </si>
  <si>
    <t>Scenarios</t>
  </si>
  <si>
    <t>Scenario weighting</t>
  </si>
  <si>
    <t>Weighting</t>
  </si>
  <si>
    <t>Scenario selection</t>
  </si>
  <si>
    <t>Scenario 1</t>
  </si>
  <si>
    <t>Scenario 2</t>
  </si>
  <si>
    <t>Scenario 3</t>
  </si>
  <si>
    <t>Present value of benefits for each option</t>
  </si>
  <si>
    <t>Present value of costs for each option</t>
  </si>
  <si>
    <t>Costs for non RIT-T proponent parties</t>
  </si>
  <si>
    <t>Commission year</t>
  </si>
  <si>
    <t>Option 1D</t>
  </si>
  <si>
    <t>Base rate: ENA Handbook; Low rate: ElectraNet WACC; High rate: symmetrical increase.</t>
  </si>
  <si>
    <t>Avoided voluntary load curtailment</t>
  </si>
  <si>
    <t>QNI RIT-T PADR economic assessment</t>
  </si>
  <si>
    <t>Scenario 4</t>
  </si>
  <si>
    <t>Slow change</t>
  </si>
  <si>
    <t>Fast change</t>
  </si>
  <si>
    <t>Inputs</t>
  </si>
  <si>
    <t>Proportionate share</t>
  </si>
  <si>
    <t>Operating and maintenance cost</t>
  </si>
  <si>
    <t>Avoided fuel costs</t>
  </si>
  <si>
    <t>Powerlink and TransGrid estimates</t>
  </si>
  <si>
    <t>`</t>
  </si>
  <si>
    <t>Substation</t>
  </si>
  <si>
    <t>Lines</t>
  </si>
  <si>
    <t>Uprate Liddell to Tamworth lines and install new dynamic reactive support at Tamworth and Dumaresq a</t>
  </si>
  <si>
    <t>Uprate Liddell to Tamworth lines only</t>
  </si>
  <si>
    <t>Install new dynamic reactive support at Tamworth and Dumaresq and shunt capacity banks</t>
  </si>
  <si>
    <t>Sapphire substation cut into line 8C and a mid-point switching station between Dumaresq and Bulli Cr</t>
  </si>
  <si>
    <t>Small BESS</t>
  </si>
  <si>
    <t>Large BESS</t>
  </si>
  <si>
    <t>Neutral</t>
  </si>
  <si>
    <t>Neutral + lower emissions</t>
  </si>
  <si>
    <t>Summary of the estimated net market benefits</t>
  </si>
  <si>
    <t>ACTIVE</t>
  </si>
  <si>
    <t>Weighted</t>
  </si>
  <si>
    <t>Avoided unserved energy</t>
  </si>
  <si>
    <t>Breakdown of gross market benefits</t>
  </si>
  <si>
    <t>Option 1A</t>
  </si>
  <si>
    <t>Option 1B</t>
  </si>
  <si>
    <t>Option 1C</t>
  </si>
  <si>
    <t>Option 5A</t>
  </si>
  <si>
    <t>Option 5B</t>
  </si>
  <si>
    <t>Grid connected battery systems</t>
  </si>
  <si>
    <t>Incremental upgrades to increase transfer capacity</t>
  </si>
  <si>
    <t>Avoided REZ transmission capex</t>
  </si>
  <si>
    <t>Breakdown of estimated gross market benefits</t>
  </si>
  <si>
    <t>Period</t>
  </si>
  <si>
    <t>Transmission capex</t>
  </si>
  <si>
    <t>Transmission opex</t>
  </si>
  <si>
    <t>Cumulative, PV</t>
  </si>
  <si>
    <t>Neutral + low emissions</t>
  </si>
  <si>
    <t>Battery</t>
  </si>
  <si>
    <t>Preferred option</t>
  </si>
  <si>
    <t>Cumulative breakdown of gross market benefits, real</t>
  </si>
  <si>
    <t>Cumulative breakdown of gross market benefits, PV</t>
  </si>
  <si>
    <t>Connection assets</t>
  </si>
  <si>
    <t>Avoided generation/storage costs (excl. fuel costs)</t>
  </si>
  <si>
    <t>High capex</t>
  </si>
  <si>
    <t>Central capex</t>
  </si>
  <si>
    <t>Low capex</t>
  </si>
  <si>
    <t>High discount rate</t>
  </si>
  <si>
    <t>Central discount rate</t>
  </si>
  <si>
    <t>Low discount rate</t>
  </si>
  <si>
    <t>Sensitivity</t>
  </si>
  <si>
    <t>Capex sensitivity</t>
  </si>
  <si>
    <t>Weighted scenario and summary</t>
  </si>
  <si>
    <t>Scenario summary</t>
  </si>
  <si>
    <t>Weighted scenario</t>
  </si>
  <si>
    <t>FIGURE 6</t>
  </si>
  <si>
    <t>FIGURE 7</t>
  </si>
  <si>
    <t>FIGURE 8</t>
  </si>
  <si>
    <t>FIGURE 10</t>
  </si>
  <si>
    <t>FIGURE 11</t>
  </si>
  <si>
    <t>FIGURE 12</t>
  </si>
  <si>
    <t>FIGURE 13</t>
  </si>
  <si>
    <t>FIGURE 14</t>
  </si>
  <si>
    <t>FIGURE 15</t>
  </si>
  <si>
    <t>FIGURE 16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</si>
  <si>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</si>
  <si>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</si>
  <si>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</si>
  <si>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</si>
  <si>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</si>
  <si>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</si>
  <si>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</si>
  <si>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</si>
  <si>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</si>
  <si>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</si>
  <si>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</si>
  <si>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</si>
  <si>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</si>
  <si>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</si>
  <si>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</si>
  <si>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</si>
  <si>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</si>
  <si>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</si>
  <si>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</si>
  <si>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</si>
  <si>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</si>
  <si>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</si>
  <si>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</si>
  <si>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</si>
  <si>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</si>
  <si>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</si>
  <si>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FIGURE 23</t>
  </si>
  <si>
    <t>FIGURE 22</t>
  </si>
  <si>
    <t>FIGURE 19</t>
  </si>
  <si>
    <t>FIGURE 17</t>
  </si>
  <si>
    <t>FIGURE 18</t>
  </si>
  <si>
    <t>FIGURE E.1</t>
  </si>
  <si>
    <t>Weighted sensitivity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</si>
</sst>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6" formatCode="&quot;$&quot;#,##0;[Red]\-&quot;$&quot;#,##0"/>
    <numFmt numFmtId="8" formatCode="&quot;$&quot;#,##0.00;[Red]\-&quot;$&quot;#,##0.00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[$-C09]d\ mmmm\ yyyy;@"/>
  </numFmts>
  <fonts count="36" x14ac:knownFonts="1"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2"/>
      <color rgb="FFFF0000"/>
      <name val="Arial"/>
      <family val="2"/>
    </font>
    <font>
      <sz val="12"/>
      <color theme="4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theme="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5">
    <xf numFmtId="0" fontId="0" fillId="0" borderId="0"/>
    <xf numFmtId="0" fontId="21" fillId="34" borderId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2" fillId="36" borderId="0"/>
    <xf numFmtId="0" fontId="22" fillId="35" borderId="0"/>
    <xf numFmtId="0" fontId="20" fillId="33" borderId="0"/>
    <xf numFmtId="2" fontId="20" fillId="37" borderId="0"/>
    <xf numFmtId="2" fontId="20" fillId="38" borderId="0"/>
    <xf numFmtId="1" fontId="20" fillId="39" borderId="0"/>
    <xf numFmtId="2" fontId="20" fillId="40" borderId="0"/>
  </cellStyleXfs>
  <cellXfs count="238">
    <xf numFmtId="0" fontId="0" fillId="0" borderId="0" xfId="0"/>
    <xf numFmtId="0" fontId="1" fillId="0" borderId="0" xfId="0" applyFont="1"/>
    <xf numFmtId="0" fontId="20" fillId="33" borderId="0" xfId="50"/>
    <xf numFmtId="0" fontId="2" fillId="0" borderId="0" xfId="0" applyFont="1" applyBorder="1"/>
    <xf numFmtId="0" fontId="0" fillId="0" borderId="0" xfId="0" applyBorder="1"/>
    <xf numFmtId="0" fontId="22" fillId="36" borderId="0" xfId="48"/>
    <xf numFmtId="0" fontId="21" fillId="34" borderId="0" xfId="1"/>
    <xf numFmtId="0" fontId="22" fillId="35" borderId="0" xfId="49"/>
    <xf numFmtId="0" fontId="22" fillId="35" borderId="0" xfId="49" applyAlignment="1">
      <alignment horizontal="center"/>
    </xf>
    <xf numFmtId="0" fontId="20" fillId="33" borderId="0" xfId="50" applyAlignment="1">
      <alignment horizontal="center"/>
    </xf>
    <xf numFmtId="0" fontId="0" fillId="33" borderId="0" xfId="50" applyFont="1"/>
    <xf numFmtId="0" fontId="22" fillId="35" borderId="0" xfId="49" applyAlignment="1">
      <alignment horizontal="left"/>
    </xf>
    <xf numFmtId="0" fontId="22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22" fillId="35" borderId="0" xfId="49" applyAlignment="1">
      <alignment horizontal="right"/>
    </xf>
    <xf numFmtId="2" fontId="20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2" fillId="36" borderId="0" xfId="48" applyAlignment="1">
      <alignment horizontal="right"/>
    </xf>
    <xf numFmtId="3" fontId="20" fillId="38" borderId="0" xfId="52" applyNumberFormat="1"/>
    <xf numFmtId="3" fontId="20" fillId="38" borderId="10" xfId="52" applyNumberFormat="1" applyBorder="1"/>
    <xf numFmtId="3" fontId="20" fillId="40" borderId="0" xfId="54" applyNumberFormat="1"/>
    <xf numFmtId="0" fontId="21" fillId="34" borderId="0" xfId="1" applyAlignment="1">
      <alignment horizontal="right"/>
    </xf>
    <xf numFmtId="10" fontId="20" fillId="38" borderId="0" xfId="52" applyNumberFormat="1" applyAlignment="1">
      <alignment horizontal="right"/>
    </xf>
    <xf numFmtId="3" fontId="20" fillId="40" borderId="0" xfId="54" applyNumberFormat="1" applyAlignment="1">
      <alignment horizontal="right"/>
    </xf>
    <xf numFmtId="10" fontId="0" fillId="0" borderId="0" xfId="0" applyNumberFormat="1"/>
    <xf numFmtId="3" fontId="20" fillId="40" borderId="10" xfId="54" applyNumberFormat="1" applyBorder="1"/>
    <xf numFmtId="0" fontId="20" fillId="33" borderId="0" xfId="50" applyNumberFormat="1" applyAlignment="1">
      <alignment horizontal="center"/>
    </xf>
    <xf numFmtId="0" fontId="20" fillId="33" borderId="0" xfId="50" applyNumberFormat="1" applyAlignment="1">
      <alignment horizontal="left"/>
    </xf>
    <xf numFmtId="0" fontId="20" fillId="33" borderId="0" xfId="50" applyAlignment="1">
      <alignment horizontal="left"/>
    </xf>
    <xf numFmtId="9" fontId="20" fillId="38" borderId="0" xfId="52" applyNumberFormat="1" applyAlignment="1">
      <alignment horizontal="right"/>
    </xf>
    <xf numFmtId="0" fontId="22" fillId="36" borderId="0" xfId="48" applyAlignment="1">
      <alignment horizontal="left"/>
    </xf>
    <xf numFmtId="10" fontId="20" fillId="33" borderId="0" xfId="50" applyNumberFormat="1" applyAlignment="1">
      <alignment horizontal="left"/>
    </xf>
    <xf numFmtId="168" fontId="20" fillId="33" borderId="0" xfId="50" applyNumberFormat="1" applyAlignment="1">
      <alignment horizontal="left"/>
    </xf>
    <xf numFmtId="0" fontId="0" fillId="0" borderId="0" xfId="0" applyAlignment="1">
      <alignment horizontal="left"/>
    </xf>
    <xf numFmtId="0" fontId="21" fillId="34" borderId="0" xfId="1" applyAlignment="1">
      <alignment horizontal="left"/>
    </xf>
    <xf numFmtId="0" fontId="23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2" fillId="36" borderId="11" xfId="48" applyBorder="1" applyAlignment="1">
      <alignment vertical="top"/>
    </xf>
    <xf numFmtId="0" fontId="22" fillId="36" borderId="12" xfId="48" applyBorder="1" applyAlignment="1">
      <alignment vertical="top"/>
    </xf>
    <xf numFmtId="0" fontId="22" fillId="36" borderId="13" xfId="48" applyBorder="1" applyAlignment="1">
      <alignment vertical="top"/>
    </xf>
    <xf numFmtId="0" fontId="20" fillId="33" borderId="14" xfId="50" applyBorder="1"/>
    <xf numFmtId="0" fontId="20" fillId="33" borderId="0" xfId="50" applyBorder="1"/>
    <xf numFmtId="0" fontId="0" fillId="0" borderId="15" xfId="0" applyBorder="1"/>
    <xf numFmtId="2" fontId="20" fillId="37" borderId="14" xfId="51" applyBorder="1"/>
    <xf numFmtId="2" fontId="20" fillId="37" borderId="0" xfId="51" applyBorder="1"/>
    <xf numFmtId="2" fontId="20" fillId="38" borderId="14" xfId="52" applyBorder="1"/>
    <xf numFmtId="2" fontId="20" fillId="38" borderId="0" xfId="52" applyBorder="1"/>
    <xf numFmtId="1" fontId="20" fillId="39" borderId="14" xfId="53" applyBorder="1"/>
    <xf numFmtId="1" fontId="20" fillId="39" borderId="0" xfId="53" applyBorder="1"/>
    <xf numFmtId="2" fontId="20" fillId="40" borderId="16" xfId="54" applyBorder="1"/>
    <xf numFmtId="2" fontId="20" fillId="40" borderId="17" xfId="54" applyBorder="1"/>
    <xf numFmtId="0" fontId="0" fillId="0" borderId="17" xfId="0" applyBorder="1"/>
    <xf numFmtId="0" fontId="0" fillId="0" borderId="18" xfId="0" applyBorder="1"/>
    <xf numFmtId="0" fontId="0" fillId="0" borderId="0" xfId="0" applyProtection="1"/>
    <xf numFmtId="0" fontId="0" fillId="0" borderId="0" xfId="0" applyFill="1" applyProtection="1"/>
    <xf numFmtId="0" fontId="28" fillId="0" borderId="0" xfId="0" applyFont="1" applyFill="1" applyAlignment="1" applyProtection="1">
      <alignment horizontal="right"/>
    </xf>
    <xf numFmtId="0" fontId="22" fillId="0" borderId="0" xfId="49" applyFont="1" applyFill="1" applyAlignment="1" applyProtection="1">
      <alignment horizontal="center"/>
    </xf>
    <xf numFmtId="1" fontId="20" fillId="39" borderId="0" xfId="53" applyAlignment="1" applyProtection="1">
      <alignment horizontal="center"/>
      <protection locked="0"/>
    </xf>
    <xf numFmtId="2" fontId="20" fillId="37" borderId="0" xfId="51" applyProtection="1">
      <protection locked="0"/>
    </xf>
    <xf numFmtId="2" fontId="0" fillId="37" borderId="0" xfId="51" applyFont="1" applyAlignment="1" applyProtection="1">
      <alignment horizontal="left" vertical="top"/>
      <protection locked="0"/>
    </xf>
    <xf numFmtId="2" fontId="20" fillId="37" borderId="0" xfId="51" applyAlignment="1" applyProtection="1">
      <alignment horizontal="left" vertical="top"/>
      <protection locked="0"/>
    </xf>
    <xf numFmtId="1" fontId="20" fillId="39" borderId="0" xfId="53" applyAlignment="1" applyProtection="1">
      <alignment horizontal="center" vertical="top"/>
      <protection locked="0"/>
    </xf>
    <xf numFmtId="10" fontId="20" fillId="39" borderId="0" xfId="53" applyNumberFormat="1" applyAlignment="1" applyProtection="1">
      <alignment horizontal="center"/>
      <protection locked="0"/>
    </xf>
    <xf numFmtId="9" fontId="20" fillId="39" borderId="0" xfId="53" applyNumberFormat="1" applyAlignment="1" applyProtection="1">
      <alignment horizontal="center"/>
      <protection locked="0"/>
    </xf>
    <xf numFmtId="2" fontId="0" fillId="37" borderId="0" xfId="51" applyFont="1" applyProtection="1">
      <protection locked="0"/>
    </xf>
    <xf numFmtId="0" fontId="21" fillId="34" borderId="0" xfId="1" applyProtection="1"/>
    <xf numFmtId="0" fontId="22" fillId="36" borderId="0" xfId="48" applyProtection="1"/>
    <xf numFmtId="0" fontId="22" fillId="35" borderId="0" xfId="49" applyProtection="1"/>
    <xf numFmtId="0" fontId="0" fillId="33" borderId="0" xfId="50" applyFont="1" applyProtection="1"/>
    <xf numFmtId="0" fontId="20" fillId="33" borderId="0" xfId="50" applyAlignment="1" applyProtection="1">
      <alignment horizontal="center" vertical="top"/>
    </xf>
    <xf numFmtId="0" fontId="20" fillId="33" borderId="0" xfId="50" applyProtection="1"/>
    <xf numFmtId="0" fontId="22" fillId="35" borderId="0" xfId="49" applyAlignment="1" applyProtection="1">
      <alignment horizontal="center"/>
    </xf>
    <xf numFmtId="0" fontId="20" fillId="0" borderId="0" xfId="50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22" fillId="36" borderId="0" xfId="48" applyAlignment="1" applyProtection="1">
      <alignment horizontal="center"/>
    </xf>
    <xf numFmtId="0" fontId="0" fillId="33" borderId="0" xfId="50" applyFont="1" applyAlignment="1" applyProtection="1">
      <alignment horizontal="center"/>
    </xf>
    <xf numFmtId="0" fontId="21" fillId="34" borderId="0" xfId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right"/>
    </xf>
    <xf numFmtId="0" fontId="0" fillId="41" borderId="0" xfId="0" applyFill="1" applyProtection="1"/>
    <xf numFmtId="0" fontId="0" fillId="41" borderId="0" xfId="0" applyFill="1" applyAlignment="1" applyProtection="1">
      <alignment horizontal="left"/>
    </xf>
    <xf numFmtId="0" fontId="0" fillId="41" borderId="0" xfId="0" applyFill="1" applyAlignment="1" applyProtection="1">
      <alignment horizontal="right"/>
    </xf>
    <xf numFmtId="0" fontId="0" fillId="41" borderId="0" xfId="0" applyFill="1" applyAlignment="1" applyProtection="1">
      <alignment horizontal="center"/>
    </xf>
    <xf numFmtId="0" fontId="22" fillId="36" borderId="0" xfId="48" applyFont="1" applyAlignment="1" applyProtection="1">
      <alignment horizontal="right"/>
    </xf>
    <xf numFmtId="0" fontId="21" fillId="34" borderId="0" xfId="1" applyAlignment="1" applyProtection="1">
      <alignment horizontal="center"/>
    </xf>
    <xf numFmtId="0" fontId="23" fillId="0" borderId="0" xfId="0" applyFont="1" applyProtection="1"/>
    <xf numFmtId="10" fontId="20" fillId="38" borderId="0" xfId="52" applyNumberFormat="1" applyAlignment="1" applyProtection="1">
      <alignment horizontal="center"/>
    </xf>
    <xf numFmtId="9" fontId="20" fillId="38" borderId="0" xfId="52" applyNumberFormat="1" applyAlignment="1" applyProtection="1">
      <alignment horizontal="center"/>
    </xf>
    <xf numFmtId="0" fontId="20" fillId="0" borderId="0" xfId="50" applyFill="1" applyProtection="1"/>
    <xf numFmtId="0" fontId="0" fillId="0" borderId="0" xfId="50" applyFont="1" applyFill="1" applyAlignment="1" applyProtection="1">
      <alignment horizontal="center"/>
    </xf>
    <xf numFmtId="3" fontId="20" fillId="0" borderId="0" xfId="51" applyNumberFormat="1" applyFill="1" applyProtection="1"/>
    <xf numFmtId="2" fontId="20" fillId="37" borderId="0" xfId="51"/>
    <xf numFmtId="0" fontId="22" fillId="35" borderId="0" xfId="49" applyAlignment="1" applyProtection="1">
      <alignment horizontal="left"/>
    </xf>
    <xf numFmtId="2" fontId="20" fillId="38" borderId="0" xfId="52"/>
    <xf numFmtId="0" fontId="26" fillId="0" borderId="0" xfId="0" applyFont="1" applyAlignment="1">
      <alignment horizontal="right"/>
    </xf>
    <xf numFmtId="0" fontId="28" fillId="0" borderId="0" xfId="0" applyFont="1" applyProtection="1"/>
    <xf numFmtId="0" fontId="22" fillId="0" borderId="0" xfId="48" applyFont="1" applyFill="1" applyProtection="1"/>
    <xf numFmtId="0" fontId="22" fillId="0" borderId="0" xfId="49" applyFont="1" applyFill="1" applyProtection="1"/>
    <xf numFmtId="0" fontId="28" fillId="0" borderId="0" xfId="0" applyFont="1" applyFill="1" applyProtection="1"/>
    <xf numFmtId="0" fontId="21" fillId="0" borderId="0" xfId="1" applyFont="1" applyFill="1" applyProtection="1"/>
    <xf numFmtId="10" fontId="20" fillId="33" borderId="0" xfId="50" applyNumberFormat="1"/>
    <xf numFmtId="1" fontId="22" fillId="35" borderId="0" xfId="49" applyNumberFormat="1" applyAlignment="1">
      <alignment horizontal="right"/>
    </xf>
    <xf numFmtId="3" fontId="20" fillId="38" borderId="0" xfId="52" applyNumberFormat="1" applyAlignment="1">
      <alignment horizontal="center"/>
    </xf>
    <xf numFmtId="0" fontId="28" fillId="0" borderId="0" xfId="0" applyFont="1"/>
    <xf numFmtId="9" fontId="20" fillId="38" borderId="0" xfId="52" applyNumberFormat="1"/>
    <xf numFmtId="1" fontId="22" fillId="0" borderId="0" xfId="53" applyFont="1" applyFill="1" applyAlignment="1" applyProtection="1">
      <alignment horizontal="center" vertical="top"/>
    </xf>
    <xf numFmtId="0" fontId="29" fillId="0" borderId="0" xfId="0" applyFont="1" applyBorder="1" applyProtection="1"/>
    <xf numFmtId="0" fontId="24" fillId="0" borderId="0" xfId="0" applyFont="1" applyBorder="1" applyProtection="1"/>
    <xf numFmtId="0" fontId="24" fillId="0" borderId="0" xfId="0" applyFont="1" applyFill="1" applyProtection="1"/>
    <xf numFmtId="0" fontId="24" fillId="0" borderId="0" xfId="0" applyFont="1" applyProtection="1"/>
    <xf numFmtId="0" fontId="22" fillId="35" borderId="0" xfId="49" applyAlignment="1" applyProtection="1">
      <alignment vertical="top"/>
    </xf>
    <xf numFmtId="0" fontId="22" fillId="35" borderId="0" xfId="49" applyAlignment="1" applyProtection="1">
      <alignment vertical="top" wrapText="1"/>
    </xf>
    <xf numFmtId="0" fontId="22" fillId="35" borderId="0" xfId="49" applyAlignment="1" applyProtection="1">
      <alignment horizontal="center" vertical="top" wrapText="1"/>
    </xf>
    <xf numFmtId="2" fontId="0" fillId="37" borderId="0" xfId="51" quotePrefix="1" applyFont="1" applyAlignment="1" applyProtection="1">
      <alignment vertical="top"/>
      <protection locked="0"/>
    </xf>
    <xf numFmtId="2" fontId="0" fillId="37" borderId="0" xfId="51" applyFont="1" applyAlignment="1" applyProtection="1">
      <alignment vertical="top"/>
      <protection locked="0"/>
    </xf>
    <xf numFmtId="1" fontId="20" fillId="39" borderId="0" xfId="53" applyAlignment="1">
      <alignment horizontal="center"/>
    </xf>
    <xf numFmtId="0" fontId="0" fillId="0" borderId="0" xfId="0" applyAlignment="1" applyProtection="1">
      <alignment vertical="top" wrapText="1"/>
    </xf>
    <xf numFmtId="0" fontId="0" fillId="0" borderId="0" xfId="0" applyFill="1"/>
    <xf numFmtId="0" fontId="24" fillId="0" borderId="0" xfId="0" applyFont="1"/>
    <xf numFmtId="2" fontId="20" fillId="38" borderId="0" xfId="52" applyAlignment="1">
      <alignment horizontal="center"/>
    </xf>
    <xf numFmtId="0" fontId="20" fillId="0" borderId="0" xfId="50" applyFill="1"/>
    <xf numFmtId="1" fontId="20" fillId="0" borderId="0" xfId="53" applyFill="1" applyAlignment="1" applyProtection="1">
      <alignment horizontal="center"/>
      <protection locked="0"/>
    </xf>
    <xf numFmtId="0" fontId="22" fillId="0" borderId="0" xfId="49" applyFont="1" applyFill="1" applyAlignment="1" applyProtection="1">
      <alignment horizontal="left" vertical="top" wrapText="1"/>
    </xf>
    <xf numFmtId="1" fontId="28" fillId="0" borderId="0" xfId="53" applyFont="1" applyFill="1" applyAlignment="1">
      <alignment horizontal="center"/>
    </xf>
    <xf numFmtId="2" fontId="20" fillId="39" borderId="0" xfId="53" applyNumberFormat="1" applyAlignment="1">
      <alignment horizontal="center"/>
    </xf>
    <xf numFmtId="10" fontId="28" fillId="0" borderId="0" xfId="52" applyNumberFormat="1" applyFont="1" applyFill="1" applyAlignment="1" applyProtection="1">
      <alignment horizontal="center"/>
    </xf>
    <xf numFmtId="2" fontId="0" fillId="37" borderId="0" xfId="51" applyFont="1" applyAlignment="1" applyProtection="1">
      <alignment horizontal="left"/>
      <protection locked="0"/>
    </xf>
    <xf numFmtId="0" fontId="22" fillId="35" borderId="0" xfId="49" applyAlignment="1" applyProtection="1">
      <alignment horizontal="left" vertical="top" wrapText="1"/>
    </xf>
    <xf numFmtId="3" fontId="0" fillId="0" borderId="0" xfId="0" applyNumberFormat="1" applyProtection="1"/>
    <xf numFmtId="0" fontId="22" fillId="35" borderId="0" xfId="49" applyAlignment="1" applyProtection="1">
      <alignment horizontal="right" vertical="top" wrapText="1"/>
    </xf>
    <xf numFmtId="0" fontId="30" fillId="0" borderId="0" xfId="0" applyFont="1"/>
    <xf numFmtId="0" fontId="30" fillId="0" borderId="0" xfId="0" applyFont="1" applyProtection="1"/>
    <xf numFmtId="0" fontId="29" fillId="0" borderId="0" xfId="0" applyFont="1" applyBorder="1"/>
    <xf numFmtId="0" fontId="24" fillId="0" borderId="0" xfId="0" applyFont="1" applyBorder="1"/>
    <xf numFmtId="0" fontId="24" fillId="0" borderId="0" xfId="0" applyFont="1" applyAlignment="1">
      <alignment vertical="top"/>
    </xf>
    <xf numFmtId="0" fontId="22" fillId="36" borderId="0" xfId="48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right" vertical="top"/>
    </xf>
    <xf numFmtId="0" fontId="22" fillId="36" borderId="0" xfId="48" applyAlignment="1">
      <alignment horizontal="center" vertical="top" wrapText="1"/>
    </xf>
    <xf numFmtId="0" fontId="22" fillId="36" borderId="0" xfId="48" applyAlignment="1">
      <alignment vertical="top" wrapText="1"/>
    </xf>
    <xf numFmtId="0" fontId="22" fillId="36" borderId="0" xfId="48" applyAlignment="1" applyProtection="1">
      <alignment horizontal="right"/>
    </xf>
    <xf numFmtId="0" fontId="22" fillId="36" borderId="0" xfId="48" applyAlignment="1" applyProtection="1">
      <alignment horizontal="left"/>
    </xf>
    <xf numFmtId="0" fontId="22" fillId="36" borderId="0" xfId="48" applyAlignment="1" applyProtection="1"/>
    <xf numFmtId="0" fontId="22" fillId="0" borderId="0" xfId="48" applyFill="1" applyProtection="1"/>
    <xf numFmtId="0" fontId="22" fillId="0" borderId="0" xfId="48" applyFill="1" applyAlignment="1" applyProtection="1">
      <alignment horizontal="right"/>
    </xf>
    <xf numFmtId="0" fontId="22" fillId="0" borderId="0" xfId="48" applyFill="1" applyAlignment="1" applyProtection="1">
      <alignment horizontal="left"/>
    </xf>
    <xf numFmtId="0" fontId="28" fillId="0" borderId="0" xfId="0" applyFont="1" applyAlignment="1">
      <alignment vertical="top"/>
    </xf>
    <xf numFmtId="0" fontId="28" fillId="0" borderId="0" xfId="0" applyFont="1" applyFill="1" applyAlignment="1" applyProtection="1">
      <alignment horizontal="center"/>
    </xf>
    <xf numFmtId="9" fontId="28" fillId="0" borderId="0" xfId="52" applyNumberFormat="1" applyFont="1" applyFill="1" applyAlignment="1" applyProtection="1">
      <alignment horizontal="center"/>
    </xf>
    <xf numFmtId="2" fontId="24" fillId="37" borderId="0" xfId="51" applyFont="1" applyAlignment="1">
      <alignment horizontal="left"/>
    </xf>
    <xf numFmtId="2" fontId="0" fillId="33" borderId="0" xfId="51" applyFont="1" applyFill="1" applyAlignment="1" applyProtection="1">
      <alignment horizontal="left"/>
      <protection locked="0"/>
    </xf>
    <xf numFmtId="2" fontId="20" fillId="33" borderId="0" xfId="50" applyNumberFormat="1"/>
    <xf numFmtId="0" fontId="31" fillId="0" borderId="0" xfId="0" applyFont="1" applyProtection="1"/>
    <xf numFmtId="0" fontId="31" fillId="0" borderId="0" xfId="0" applyFont="1" applyFill="1" applyBorder="1" applyProtection="1"/>
    <xf numFmtId="0" fontId="32" fillId="0" borderId="0" xfId="0" applyFont="1"/>
    <xf numFmtId="3" fontId="32" fillId="0" borderId="0" xfId="0" applyNumberFormat="1" applyFont="1"/>
    <xf numFmtId="0" fontId="33" fillId="36" borderId="0" xfId="48" applyFont="1"/>
    <xf numFmtId="0" fontId="33" fillId="35" borderId="0" xfId="49" applyFont="1"/>
    <xf numFmtId="0" fontId="32" fillId="33" borderId="0" xfId="50" applyFont="1"/>
    <xf numFmtId="3" fontId="32" fillId="38" borderId="0" xfId="52" applyNumberFormat="1" applyFont="1"/>
    <xf numFmtId="0" fontId="33" fillId="35" borderId="0" xfId="49" applyFont="1" applyAlignment="1">
      <alignment horizontal="right"/>
    </xf>
    <xf numFmtId="0" fontId="20" fillId="37" borderId="0" xfId="51" applyNumberFormat="1"/>
    <xf numFmtId="3" fontId="20" fillId="37" borderId="0" xfId="51" applyNumberFormat="1"/>
    <xf numFmtId="0" fontId="20" fillId="37" borderId="0" xfId="51" applyNumberFormat="1" applyAlignment="1">
      <alignment horizontal="center"/>
    </xf>
    <xf numFmtId="3" fontId="32" fillId="38" borderId="0" xfId="52" applyNumberFormat="1" applyFont="1" applyAlignment="1">
      <alignment horizontal="right"/>
    </xf>
    <xf numFmtId="0" fontId="32" fillId="0" borderId="0" xfId="0" applyFont="1" applyAlignment="1">
      <alignment horizontal="right"/>
    </xf>
    <xf numFmtId="0" fontId="33" fillId="36" borderId="0" xfId="48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0" fillId="0" borderId="0" xfId="0" applyNumberFormat="1"/>
    <xf numFmtId="0" fontId="33" fillId="35" borderId="0" xfId="49" applyFont="1" applyAlignment="1">
      <alignment horizontal="left"/>
    </xf>
    <xf numFmtId="0" fontId="33" fillId="0" borderId="0" xfId="49" applyFont="1" applyFill="1"/>
    <xf numFmtId="0" fontId="32" fillId="0" borderId="0" xfId="0" applyFont="1" applyFill="1"/>
    <xf numFmtId="0" fontId="33" fillId="0" borderId="0" xfId="48" applyFont="1" applyFill="1"/>
    <xf numFmtId="0" fontId="33" fillId="0" borderId="0" xfId="49" applyFont="1" applyFill="1" applyAlignment="1">
      <alignment horizontal="right"/>
    </xf>
    <xf numFmtId="4" fontId="33" fillId="35" borderId="0" xfId="49" applyNumberFormat="1" applyFont="1"/>
    <xf numFmtId="2" fontId="0" fillId="37" borderId="0" xfId="51" applyFont="1"/>
    <xf numFmtId="10" fontId="31" fillId="0" borderId="0" xfId="0" applyNumberFormat="1" applyFont="1" applyFill="1" applyBorder="1" applyProtection="1"/>
    <xf numFmtId="3" fontId="20" fillId="33" borderId="0" xfId="50" applyNumberFormat="1" applyAlignment="1">
      <alignment horizontal="center"/>
    </xf>
    <xf numFmtId="0" fontId="34" fillId="0" borderId="0" xfId="49" applyFont="1" applyFill="1" applyAlignment="1">
      <alignment horizontal="right"/>
    </xf>
    <xf numFmtId="0" fontId="33" fillId="35" borderId="0" xfId="49" applyFont="1" applyAlignment="1">
      <alignment horizontal="right" wrapText="1"/>
    </xf>
    <xf numFmtId="0" fontId="32" fillId="0" borderId="0" xfId="0" applyFont="1" applyBorder="1"/>
    <xf numFmtId="0" fontId="33" fillId="35" borderId="0" xfId="49" applyFont="1" applyBorder="1" applyAlignment="1">
      <alignment horizontal="left"/>
    </xf>
    <xf numFmtId="0" fontId="32" fillId="0" borderId="0" xfId="0" applyFont="1" applyFill="1" applyBorder="1"/>
    <xf numFmtId="0" fontId="33" fillId="0" borderId="0" xfId="49" applyFont="1" applyFill="1" applyBorder="1"/>
    <xf numFmtId="0" fontId="33" fillId="0" borderId="0" xfId="49" applyFont="1" applyFill="1" applyBorder="1" applyAlignment="1">
      <alignment horizontal="left"/>
    </xf>
    <xf numFmtId="0" fontId="33" fillId="0" borderId="0" xfId="49" applyFont="1" applyFill="1" applyBorder="1" applyAlignment="1">
      <alignment horizontal="right"/>
    </xf>
    <xf numFmtId="0" fontId="32" fillId="0" borderId="0" xfId="50" applyFont="1" applyFill="1" applyBorder="1"/>
    <xf numFmtId="3" fontId="32" fillId="0" borderId="0" xfId="54" applyNumberFormat="1" applyFont="1" applyFill="1" applyBorder="1"/>
    <xf numFmtId="3" fontId="32" fillId="0" borderId="0" xfId="0" applyNumberFormat="1" applyFont="1" applyFill="1" applyBorder="1"/>
    <xf numFmtId="3" fontId="32" fillId="37" borderId="0" xfId="51" applyNumberFormat="1" applyFont="1"/>
    <xf numFmtId="3" fontId="32" fillId="37" borderId="0" xfId="51" applyNumberFormat="1" applyFont="1" applyBorder="1"/>
    <xf numFmtId="3" fontId="32" fillId="37" borderId="19" xfId="51" applyNumberFormat="1" applyFont="1" applyBorder="1"/>
    <xf numFmtId="3" fontId="21" fillId="34" borderId="0" xfId="1" applyNumberFormat="1"/>
    <xf numFmtId="6" fontId="22" fillId="36" borderId="0" xfId="48" applyNumberFormat="1"/>
    <xf numFmtId="0" fontId="33" fillId="36" borderId="0" xfId="48" applyFont="1" applyAlignment="1">
      <alignment horizontal="left"/>
    </xf>
    <xf numFmtId="3" fontId="32" fillId="0" borderId="0" xfId="0" applyNumberFormat="1" applyFont="1" applyAlignment="1">
      <alignment horizontal="left"/>
    </xf>
    <xf numFmtId="3" fontId="20" fillId="37" borderId="21" xfId="51" applyNumberFormat="1" applyBorder="1"/>
    <xf numFmtId="3" fontId="20" fillId="37" borderId="22" xfId="51" applyNumberFormat="1" applyBorder="1"/>
    <xf numFmtId="3" fontId="20" fillId="37" borderId="0" xfId="51" applyNumberFormat="1" applyBorder="1"/>
    <xf numFmtId="0" fontId="20" fillId="37" borderId="0" xfId="51" applyNumberFormat="1" applyBorder="1"/>
    <xf numFmtId="0" fontId="20" fillId="37" borderId="0" xfId="51" applyNumberFormat="1" applyBorder="1" applyAlignment="1">
      <alignment horizontal="center"/>
    </xf>
    <xf numFmtId="2" fontId="20" fillId="37" borderId="19" xfId="51" applyBorder="1"/>
    <xf numFmtId="3" fontId="20" fillId="37" borderId="19" xfId="51" applyNumberFormat="1" applyBorder="1"/>
    <xf numFmtId="0" fontId="20" fillId="37" borderId="19" xfId="51" applyNumberFormat="1" applyBorder="1"/>
    <xf numFmtId="0" fontId="20" fillId="37" borderId="19" xfId="51" applyNumberFormat="1" applyBorder="1" applyAlignment="1">
      <alignment horizontal="center"/>
    </xf>
    <xf numFmtId="8" fontId="0" fillId="0" borderId="0" xfId="0" applyNumberFormat="1"/>
    <xf numFmtId="2" fontId="0" fillId="0" borderId="0" xfId="0" applyNumberFormat="1"/>
    <xf numFmtId="1" fontId="0" fillId="0" borderId="0" xfId="0" applyNumberFormat="1"/>
    <xf numFmtId="0" fontId="35" fillId="0" borderId="0" xfId="0" applyFont="1"/>
    <xf numFmtId="0" fontId="33" fillId="36" borderId="0" xfId="48" applyFont="1" applyAlignment="1">
      <alignment wrapText="1"/>
    </xf>
    <xf numFmtId="0" fontId="32" fillId="0" borderId="0" xfId="0" applyFont="1" applyAlignment="1">
      <alignment wrapText="1"/>
    </xf>
    <xf numFmtId="3" fontId="32" fillId="38" borderId="0" xfId="52" applyNumberFormat="1" applyFont="1" applyAlignment="1">
      <alignment horizontal="right" wrapText="1"/>
    </xf>
    <xf numFmtId="0" fontId="32" fillId="0" borderId="0" xfId="0" applyFont="1" applyAlignment="1">
      <alignment horizontal="right" wrapText="1"/>
    </xf>
    <xf numFmtId="0" fontId="33" fillId="35" borderId="0" xfId="49" applyFont="1" applyAlignment="1">
      <alignment horizontal="center" wrapText="1"/>
    </xf>
    <xf numFmtId="2" fontId="32" fillId="0" borderId="0" xfId="0" applyNumberFormat="1" applyFont="1" applyAlignment="1">
      <alignment wrapText="1"/>
    </xf>
    <xf numFmtId="0" fontId="21" fillId="0" borderId="0" xfId="1" applyFill="1" applyProtection="1"/>
    <xf numFmtId="0" fontId="22" fillId="0" borderId="0" xfId="49" applyFill="1" applyProtection="1"/>
    <xf numFmtId="3" fontId="20" fillId="0" borderId="0" xfId="51" applyNumberFormat="1" applyFill="1" applyProtection="1">
      <protection locked="0"/>
    </xf>
    <xf numFmtId="3" fontId="32" fillId="0" borderId="0" xfId="52" applyNumberFormat="1" applyFont="1" applyFill="1"/>
    <xf numFmtId="3" fontId="32" fillId="0" borderId="0" xfId="51" applyNumberFormat="1" applyFont="1" applyFill="1" applyBorder="1"/>
    <xf numFmtId="4" fontId="33" fillId="0" borderId="0" xfId="49" applyNumberFormat="1" applyFont="1" applyFill="1"/>
    <xf numFmtId="3" fontId="32" fillId="0" borderId="0" xfId="0" applyNumberFormat="1" applyFont="1" applyFill="1"/>
    <xf numFmtId="3" fontId="32" fillId="0" borderId="0" xfId="0" applyNumberFormat="1" applyFont="1" applyFill="1" applyAlignment="1">
      <alignment horizontal="left"/>
    </xf>
    <xf numFmtId="2" fontId="20" fillId="37" borderId="20" xfId="51" applyBorder="1"/>
    <xf numFmtId="3" fontId="20" fillId="37" borderId="20" xfId="51" applyNumberFormat="1" applyBorder="1"/>
    <xf numFmtId="0" fontId="20" fillId="37" borderId="20" xfId="51" applyNumberFormat="1" applyBorder="1"/>
    <xf numFmtId="0" fontId="20" fillId="37" borderId="20" xfId="51" applyNumberFormat="1" applyBorder="1" applyAlignment="1">
      <alignment horizontal="center"/>
    </xf>
    <xf numFmtId="0" fontId="22" fillId="0" borderId="0" xfId="48" applyFill="1" applyBorder="1" applyAlignment="1">
      <alignment vertical="center"/>
    </xf>
    <xf numFmtId="169" fontId="20" fillId="0" borderId="0" xfId="0" applyNumberFormat="1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left" vertical="top"/>
    </xf>
    <xf numFmtId="0" fontId="22" fillId="0" borderId="0" xfId="48" applyFill="1" applyBorder="1" applyAlignment="1">
      <alignment horizontal="left" vertical="top"/>
    </xf>
    <xf numFmtId="0" fontId="22" fillId="0" borderId="0" xfId="48" applyFill="1" applyBorder="1"/>
    <xf numFmtId="0" fontId="24" fillId="0" borderId="0" xfId="0" applyFont="1" applyFill="1" applyBorder="1" applyAlignment="1">
      <alignment vertical="center"/>
    </xf>
    <xf numFmtId="0" fontId="32" fillId="33" borderId="0" xfId="50" applyFont="1" applyBorder="1" applyAlignment="1">
      <alignment vertical="top"/>
    </xf>
    <xf numFmtId="0" fontId="33" fillId="35" borderId="0" xfId="49" applyFont="1" applyAlignment="1">
      <alignment horizontal="center"/>
    </xf>
    <xf numFmtId="0" fontId="33" fillId="0" borderId="0" xfId="49" applyFont="1" applyFill="1" applyBorder="1" applyAlignment="1">
      <alignment horizontal="center"/>
    </xf>
  </cellXfs>
  <cellStyles count="5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/>
    <cellStyle name="Check Cell" xfId="19" builtinId="23" hidden="1"/>
    <cellStyle name="Comma" xfId="2" builtinId="3" hidden="1"/>
    <cellStyle name="Comma [0]" xfId="3" builtinId="6" hidden="1"/>
    <cellStyle name="Currency" xfId="4" builtinId="4" hidden="1"/>
    <cellStyle name="Currency [0]" xfId="5" builtinId="7" hidden="1"/>
    <cellStyle name="Explanatory Text" xfId="22" builtinId="53" hidden="1"/>
    <cellStyle name="Good" xfId="12" builtinId="26" hidden="1"/>
    <cellStyle name="Header 1" xfId="1"/>
    <cellStyle name="Header 2" xfId="48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/>
    <cellStyle name="Linked Cell" xfId="18" builtinId="24" hidden="1"/>
    <cellStyle name="Neutral" xfId="14" builtinId="28" hidden="1"/>
    <cellStyle name="Normal" xfId="0" builtinId="0" customBuiltin="1"/>
    <cellStyle name="Note" xfId="21" builtinId="10" hidden="1"/>
    <cellStyle name="Output" xfId="16" builtinId="21" hidden="1"/>
    <cellStyle name="Output Cell" xfId="54"/>
    <cellStyle name="Parameter Cell" xfId="53"/>
    <cellStyle name="Percent" xfId="6" builtinId="5" hidden="1"/>
    <cellStyle name="Table Header" xfId="49"/>
    <cellStyle name="Table Row Name" xfId="50"/>
    <cellStyle name="Title" xfId="7" builtinId="15" hidden="1"/>
    <cellStyle name="Total" xfId="23" builtinId="25" hidden="1"/>
    <cellStyle name="Warning Text" xfId="20" builtinId="11" hidden="1"/>
  </cellStyles>
  <dxfs count="0"/>
  <tableStyles count="0" defaultTableStyle="TableStyleMedium2" defaultPivotStyle="PivotStyleLight16"/>
  <colors>
    <mruColors>
      <color rgb="FFF6C1D1"/>
      <color rgb="FFE0D4A4"/>
      <color rgb="FF9EC0DB"/>
      <color rgb="FF262D33"/>
      <color rgb="FF696A6D"/>
      <color rgb="FFD9DA93"/>
      <color rgb="FF9ECCA6"/>
      <color rgb="FFA0BCA6"/>
      <color rgb="FF9ECFF8"/>
      <color rgb="FFE5BD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'R2 Chart tables'!$K$21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tables'!$L$21:$Q$21</c:f>
              <c:numCache>
                <c:formatCode>#,##0</c:formatCode>
                <c:ptCount val="6"/>
                <c:pt idx="0">
                  <c:v>285792624.26463562</c:v>
                </c:pt>
                <c:pt idx="1">
                  <c:v>72138855.007727504</c:v>
                </c:pt>
                <c:pt idx="2">
                  <c:v>144638247.22212476</c:v>
                </c:pt>
                <c:pt idx="3">
                  <c:v>89425443.438943207</c:v>
                </c:pt>
                <c:pt idx="4">
                  <c:v>84940991.524211556</c:v>
                </c:pt>
                <c:pt idx="5">
                  <c:v>424704957.62105376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F4-4CE8-9BEB-5E1FA2F77F66}"/>
            </c:ext>
          </c:extLst>
        </c:ser>
        <c:ser>
          <c:idx val="4"/>
          <c:order val="1"/>
          <c:tx>
            <c:strRef>
              <c:f>'R2 Chart tables'!$K$19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tables'!$L$19:$Q$19</c:f>
              <c:numCache>
                <c:formatCode>#,##0</c:formatCode>
                <c:ptCount val="6"/>
                <c:pt idx="0">
                  <c:v>58460685.474644393</c:v>
                </c:pt>
                <c:pt idx="1">
                  <c:v>92445011.467158586</c:v>
                </c:pt>
                <c:pt idx="2">
                  <c:v>-21035460.487039506</c:v>
                </c:pt>
                <c:pt idx="3">
                  <c:v>-6287245.0419739988</c:v>
                </c:pt>
                <c:pt idx="4">
                  <c:v>7876093.4886554414</c:v>
                </c:pt>
                <c:pt idx="5">
                  <c:v>39380467.443274513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4-4CE8-9BEB-5E1FA2F77F66}"/>
            </c:ext>
          </c:extLst>
        </c:ser>
        <c:ser>
          <c:idx val="3"/>
          <c:order val="2"/>
          <c:tx>
            <c:strRef>
              <c:f>'R2 Chart tables'!$K$18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tables'!$L$18:$Q$18</c:f>
              <c:numCache>
                <c:formatCode>#,##0</c:formatCode>
                <c:ptCount val="6"/>
                <c:pt idx="0">
                  <c:v>24041337.702969268</c:v>
                </c:pt>
                <c:pt idx="1">
                  <c:v>18370986.638124477</c:v>
                </c:pt>
                <c:pt idx="2">
                  <c:v>-1358871.145994066</c:v>
                </c:pt>
                <c:pt idx="3">
                  <c:v>-962047.9847714192</c:v>
                </c:pt>
                <c:pt idx="4">
                  <c:v>5622412.8428756595</c:v>
                </c:pt>
                <c:pt idx="5">
                  <c:v>28112064.214378189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4-4CE8-9BEB-5E1FA2F77F66}"/>
            </c:ext>
          </c:extLst>
        </c:ser>
        <c:ser>
          <c:idx val="2"/>
          <c:order val="3"/>
          <c:tx>
            <c:strRef>
              <c:f>'R2 Chart tables'!$K$17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tables'!$L$17:$Q$17</c:f>
              <c:numCache>
                <c:formatCode>#,##0</c:formatCode>
                <c:ptCount val="6"/>
                <c:pt idx="0">
                  <c:v>6847940.5294074602</c:v>
                </c:pt>
                <c:pt idx="1">
                  <c:v>-3911997.0420674719</c:v>
                </c:pt>
                <c:pt idx="2">
                  <c:v>21794814.557855465</c:v>
                </c:pt>
                <c:pt idx="3">
                  <c:v>11888680.416165991</c:v>
                </c:pt>
                <c:pt idx="4">
                  <c:v>1066178.9578922903</c:v>
                </c:pt>
                <c:pt idx="5">
                  <c:v>5330894.7894614292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4-4CE8-9BEB-5E1FA2F77F66}"/>
            </c:ext>
          </c:extLst>
        </c:ser>
        <c:ser>
          <c:idx val="5"/>
          <c:order val="4"/>
          <c:tx>
            <c:strRef>
              <c:f>'R2 Chart tables'!$K$20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tables'!$L$20:$Q$20</c:f>
              <c:numCache>
                <c:formatCode>#,##0</c:formatCode>
                <c:ptCount val="6"/>
                <c:pt idx="0">
                  <c:v>3788340.0905448608</c:v>
                </c:pt>
                <c:pt idx="1">
                  <c:v>-159783.0812292872</c:v>
                </c:pt>
                <c:pt idx="2">
                  <c:v>2363645.1192489699</c:v>
                </c:pt>
                <c:pt idx="3">
                  <c:v>1005060.8540779117</c:v>
                </c:pt>
                <c:pt idx="4">
                  <c:v>384566.61553633545</c:v>
                </c:pt>
                <c:pt idx="5">
                  <c:v>1922833.0776816758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4-4CE8-9BEB-5E1FA2F77F66}"/>
            </c:ext>
          </c:extLst>
        </c:ser>
        <c:ser>
          <c:idx val="0"/>
          <c:order val="5"/>
          <c:tx>
            <c:strRef>
              <c:f>'R2 Chart tables'!$K$15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tables'!$L$15:$Q$15</c:f>
              <c:numCache>
                <c:formatCode>#,##0</c:formatCode>
                <c:ptCount val="6"/>
                <c:pt idx="0">
                  <c:v>-138464937.18402365</c:v>
                </c:pt>
                <c:pt idx="1">
                  <c:v>-25715467.479306318</c:v>
                </c:pt>
                <c:pt idx="2">
                  <c:v>-112749469.70471734</c:v>
                </c:pt>
                <c:pt idx="3">
                  <c:v>-35831399.270566955</c:v>
                </c:pt>
                <c:pt idx="4">
                  <c:v>-79988839.483082816</c:v>
                </c:pt>
                <c:pt idx="5">
                  <c:v>-332809646.37239742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4-4CE8-9BEB-5E1FA2F77F66}"/>
            </c:ext>
          </c:extLst>
        </c:ser>
        <c:ser>
          <c:idx val="1"/>
          <c:order val="6"/>
          <c:tx>
            <c:strRef>
              <c:f>'R2 Chart tables'!$K$16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'R2 Chart tables'!$L$13:$Q$14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tables'!$L$16:$Q$16</c:f>
              <c:numCache>
                <c:formatCode>#,##0</c:formatCode>
                <c:ptCount val="6"/>
                <c:pt idx="0">
                  <c:v>-22589879.628669944</c:v>
                </c:pt>
                <c:pt idx="1">
                  <c:v>-3708371.6782973711</c:v>
                </c:pt>
                <c:pt idx="2">
                  <c:v>-18881507.95037258</c:v>
                </c:pt>
                <c:pt idx="3">
                  <c:v>-4981394.7917427355</c:v>
                </c:pt>
                <c:pt idx="4">
                  <c:v>-8687143.2356444057</c:v>
                </c:pt>
                <c:pt idx="5">
                  <c:v>-33513043.265276469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4-4CE8-9BEB-5E1FA2F7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03496928"/>
        <c:axId val="703497256"/>
      </c:barChart>
      <c:scatterChart>
        <c:scatterStyle val="lineMarker"/>
        <c:varyColors val="0"/>
        <c:ser>
          <c:idx val="7"/>
          <c:order val="7"/>
          <c:tx>
            <c:strRef>
              <c:f>'R2 Chart tables'!$K$22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'R2 Chart tables'!$L$14:$Q$14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xVal>
          <c:yVal>
            <c:numRef>
              <c:f>'R2 Chart tables'!$L$22:$Q$22</c:f>
              <c:numCache>
                <c:formatCode>#,##0</c:formatCode>
                <c:ptCount val="6"/>
                <c:pt idx="0">
                  <c:v>217876111.24950802</c:v>
                </c:pt>
                <c:pt idx="1">
                  <c:v>149459233.83211011</c:v>
                </c:pt>
                <c:pt idx="2">
                  <c:v>14771397.611105695</c:v>
                </c:pt>
                <c:pt idx="3">
                  <c:v>54257097.620132007</c:v>
                </c:pt>
                <c:pt idx="4">
                  <c:v>11214260.710444063</c:v>
                </c:pt>
                <c:pt idx="5">
                  <c:v>133128527.50817561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F4-4CE8-9BEB-5E1FA2F7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496928"/>
        <c:axId val="703497256"/>
      </c:scatterChart>
      <c:catAx>
        <c:axId val="703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497256"/>
        <c:crosses val="autoZero"/>
        <c:auto val="1"/>
        <c:lblAlgn val="ctr"/>
        <c:lblOffset val="100"/>
        <c:noMultiLvlLbl val="0"/>
      </c:catAx>
      <c:valAx>
        <c:axId val="703497256"/>
        <c:scaling>
          <c:orientation val="minMax"/>
          <c:max val="600000000"/>
          <c:min val="-4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3496928"/>
        <c:crosses val="autoZero"/>
        <c:crossBetween val="between"/>
        <c:majorUnit val="1000000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317817145517"/>
          <c:y val="0.76716499999999999"/>
          <c:w val="0.87172880082636872"/>
          <c:h val="0.21166833333333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'R2 Chart tables'!$S$94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'R2 Chart tables'!$T$89:$AS$89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tables'!$T$94:$AS$94</c:f>
              <c:numCache>
                <c:formatCode>#,##0</c:formatCode>
                <c:ptCount val="26"/>
                <c:pt idx="0">
                  <c:v>0</c:v>
                </c:pt>
                <c:pt idx="1">
                  <c:v>1697.20988244353</c:v>
                </c:pt>
                <c:pt idx="2">
                  <c:v>3993.1989996705815</c:v>
                </c:pt>
                <c:pt idx="3">
                  <c:v>103018556.90318005</c:v>
                </c:pt>
                <c:pt idx="4">
                  <c:v>103431739.05209096</c:v>
                </c:pt>
                <c:pt idx="5">
                  <c:v>124034905.63109882</c:v>
                </c:pt>
                <c:pt idx="6">
                  <c:v>119151474.62295803</c:v>
                </c:pt>
                <c:pt idx="7">
                  <c:v>119389731.37359177</c:v>
                </c:pt>
                <c:pt idx="8">
                  <c:v>113198982.59388076</c:v>
                </c:pt>
                <c:pt idx="9">
                  <c:v>195781756.17636135</c:v>
                </c:pt>
                <c:pt idx="10">
                  <c:v>203117959.6595808</c:v>
                </c:pt>
                <c:pt idx="11">
                  <c:v>202568109.28181061</c:v>
                </c:pt>
                <c:pt idx="12">
                  <c:v>202169927.52564079</c:v>
                </c:pt>
                <c:pt idx="13">
                  <c:v>196248516.24118358</c:v>
                </c:pt>
                <c:pt idx="14">
                  <c:v>192128903.99396279</c:v>
                </c:pt>
                <c:pt idx="15">
                  <c:v>191728138.83363545</c:v>
                </c:pt>
                <c:pt idx="16">
                  <c:v>194100527.40100697</c:v>
                </c:pt>
                <c:pt idx="17">
                  <c:v>235356657.50138116</c:v>
                </c:pt>
                <c:pt idx="18">
                  <c:v>168905131.0466302</c:v>
                </c:pt>
                <c:pt idx="19">
                  <c:v>178878272.06483418</c:v>
                </c:pt>
                <c:pt idx="20">
                  <c:v>175614679.61733559</c:v>
                </c:pt>
                <c:pt idx="21">
                  <c:v>184520392.12375557</c:v>
                </c:pt>
                <c:pt idx="22">
                  <c:v>169049673.23232484</c:v>
                </c:pt>
                <c:pt idx="23">
                  <c:v>165665453.70150456</c:v>
                </c:pt>
                <c:pt idx="24">
                  <c:v>170006971.9359481</c:v>
                </c:pt>
                <c:pt idx="25">
                  <c:v>174106611.43967193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0-47D7-9160-F964CCC51C53}"/>
            </c:ext>
          </c:extLst>
        </c:ser>
        <c:ser>
          <c:idx val="2"/>
          <c:order val="1"/>
          <c:tx>
            <c:strRef>
              <c:f>'R2 Chart tables'!$S$92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 tables'!$T$89:$AS$89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tables'!$T$92:$AS$92</c:f>
              <c:numCache>
                <c:formatCode>#,##0</c:formatCode>
                <c:ptCount val="26"/>
                <c:pt idx="0">
                  <c:v>0</c:v>
                </c:pt>
                <c:pt idx="1">
                  <c:v>6.0231323170144124</c:v>
                </c:pt>
                <c:pt idx="2">
                  <c:v>-12725.177275081744</c:v>
                </c:pt>
                <c:pt idx="3">
                  <c:v>3470432.2252801955</c:v>
                </c:pt>
                <c:pt idx="4">
                  <c:v>6504918.8528516609</c:v>
                </c:pt>
                <c:pt idx="5">
                  <c:v>9786740.9639807958</c:v>
                </c:pt>
                <c:pt idx="6">
                  <c:v>12602221.015317095</c:v>
                </c:pt>
                <c:pt idx="7">
                  <c:v>15950048.31979027</c:v>
                </c:pt>
                <c:pt idx="8">
                  <c:v>19512403.406190924</c:v>
                </c:pt>
                <c:pt idx="9">
                  <c:v>21053720.748584852</c:v>
                </c:pt>
                <c:pt idx="10">
                  <c:v>20411895.929669105</c:v>
                </c:pt>
                <c:pt idx="11">
                  <c:v>19321316.910865411</c:v>
                </c:pt>
                <c:pt idx="12">
                  <c:v>18769186.984997351</c:v>
                </c:pt>
                <c:pt idx="13">
                  <c:v>19710522.495487314</c:v>
                </c:pt>
                <c:pt idx="14">
                  <c:v>22495638.455640133</c:v>
                </c:pt>
                <c:pt idx="15">
                  <c:v>23189976.198221866</c:v>
                </c:pt>
                <c:pt idx="16">
                  <c:v>23703106.127909608</c:v>
                </c:pt>
                <c:pt idx="17">
                  <c:v>20442713.817792326</c:v>
                </c:pt>
                <c:pt idx="18">
                  <c:v>27881368.652906071</c:v>
                </c:pt>
                <c:pt idx="19">
                  <c:v>30379636.241225924</c:v>
                </c:pt>
                <c:pt idx="20">
                  <c:v>35167224.069254629</c:v>
                </c:pt>
                <c:pt idx="21">
                  <c:v>38079927.535342373</c:v>
                </c:pt>
                <c:pt idx="22">
                  <c:v>42770186.066214591</c:v>
                </c:pt>
                <c:pt idx="23">
                  <c:v>46979319.700139202</c:v>
                </c:pt>
                <c:pt idx="24">
                  <c:v>51723951.254310891</c:v>
                </c:pt>
                <c:pt idx="25">
                  <c:v>56204245.450884722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0-47D7-9160-F964CCC51C53}"/>
            </c:ext>
          </c:extLst>
        </c:ser>
        <c:ser>
          <c:idx val="1"/>
          <c:order val="2"/>
          <c:tx>
            <c:strRef>
              <c:f>'R2 Chart tables'!$S$91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 tables'!$T$89:$AS$89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tables'!$T$91:$AS$91</c:f>
              <c:numCache>
                <c:formatCode>#,##0</c:formatCode>
                <c:ptCount val="26"/>
                <c:pt idx="0">
                  <c:v>0</c:v>
                </c:pt>
                <c:pt idx="1">
                  <c:v>47.396062735059068</c:v>
                </c:pt>
                <c:pt idx="2">
                  <c:v>48.916854812213231</c:v>
                </c:pt>
                <c:pt idx="3">
                  <c:v>53.891591543261541</c:v>
                </c:pt>
                <c:pt idx="4">
                  <c:v>55.405519339559852</c:v>
                </c:pt>
                <c:pt idx="5">
                  <c:v>57.268767127349008</c:v>
                </c:pt>
                <c:pt idx="6">
                  <c:v>59.834678134928652</c:v>
                </c:pt>
                <c:pt idx="7">
                  <c:v>62.103814015928037</c:v>
                </c:pt>
                <c:pt idx="8">
                  <c:v>63.702593970438215</c:v>
                </c:pt>
                <c:pt idx="9">
                  <c:v>72.432260423757313</c:v>
                </c:pt>
                <c:pt idx="10">
                  <c:v>83.737077555428229</c:v>
                </c:pt>
                <c:pt idx="11">
                  <c:v>84.404287860835254</c:v>
                </c:pt>
                <c:pt idx="12">
                  <c:v>84.768543720391591</c:v>
                </c:pt>
                <c:pt idx="13">
                  <c:v>87.961726241238949</c:v>
                </c:pt>
                <c:pt idx="14">
                  <c:v>91.20334465629125</c:v>
                </c:pt>
                <c:pt idx="15">
                  <c:v>91.680648666165155</c:v>
                </c:pt>
                <c:pt idx="16">
                  <c:v>15874604.332192697</c:v>
                </c:pt>
                <c:pt idx="17">
                  <c:v>14705174.522232099</c:v>
                </c:pt>
                <c:pt idx="18">
                  <c:v>11070813.344559234</c:v>
                </c:pt>
                <c:pt idx="19">
                  <c:v>12785870.634044278</c:v>
                </c:pt>
                <c:pt idx="20">
                  <c:v>11395433.625132661</c:v>
                </c:pt>
                <c:pt idx="21">
                  <c:v>9984613.5169519894</c:v>
                </c:pt>
                <c:pt idx="22">
                  <c:v>9393308.9155521747</c:v>
                </c:pt>
                <c:pt idx="23">
                  <c:v>9393309.5748890936</c:v>
                </c:pt>
                <c:pt idx="24">
                  <c:v>8783790.7778812982</c:v>
                </c:pt>
                <c:pt idx="25">
                  <c:v>8208230.063048631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0-47D7-9160-F964CCC51C53}"/>
            </c:ext>
          </c:extLst>
        </c:ser>
        <c:ser>
          <c:idx val="0"/>
          <c:order val="3"/>
          <c:tx>
            <c:strRef>
              <c:f>'R2 Chart tables'!$S$90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 tables'!$T$89:$AS$89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tables'!$T$90:$AS$90</c:f>
              <c:numCache>
                <c:formatCode>#,##0</c:formatCode>
                <c:ptCount val="26"/>
                <c:pt idx="0">
                  <c:v>0</c:v>
                </c:pt>
                <c:pt idx="1">
                  <c:v>-20.11589746573998</c:v>
                </c:pt>
                <c:pt idx="2">
                  <c:v>-31.73386242829373</c:v>
                </c:pt>
                <c:pt idx="3">
                  <c:v>2631462.6645738911</c:v>
                </c:pt>
                <c:pt idx="4">
                  <c:v>1832340.575921257</c:v>
                </c:pt>
                <c:pt idx="5">
                  <c:v>2892704.7857727082</c:v>
                </c:pt>
                <c:pt idx="6">
                  <c:v>4553613.8491059672</c:v>
                </c:pt>
                <c:pt idx="7">
                  <c:v>5315383.6275513098</c:v>
                </c:pt>
                <c:pt idx="8">
                  <c:v>6200301.6680038702</c:v>
                </c:pt>
                <c:pt idx="9">
                  <c:v>-178516.37177404761</c:v>
                </c:pt>
                <c:pt idx="10">
                  <c:v>-351697.49853898282</c:v>
                </c:pt>
                <c:pt idx="11">
                  <c:v>-351693.58439662872</c:v>
                </c:pt>
                <c:pt idx="12">
                  <c:v>21477.034994276182</c:v>
                </c:pt>
                <c:pt idx="13">
                  <c:v>-651646.55484882602</c:v>
                </c:pt>
                <c:pt idx="14">
                  <c:v>-432385.2990861577</c:v>
                </c:pt>
                <c:pt idx="15">
                  <c:v>-542552.29000024055</c:v>
                </c:pt>
                <c:pt idx="16">
                  <c:v>2168381.9783409489</c:v>
                </c:pt>
                <c:pt idx="17">
                  <c:v>2199564.7752949884</c:v>
                </c:pt>
                <c:pt idx="18">
                  <c:v>4461593.3573081754</c:v>
                </c:pt>
                <c:pt idx="19">
                  <c:v>5181202.984157321</c:v>
                </c:pt>
                <c:pt idx="20">
                  <c:v>5173250.4379958538</c:v>
                </c:pt>
                <c:pt idx="21">
                  <c:v>5140782.631681256</c:v>
                </c:pt>
                <c:pt idx="22">
                  <c:v>5090715.8760937182</c:v>
                </c:pt>
                <c:pt idx="23">
                  <c:v>6049337.7829357572</c:v>
                </c:pt>
                <c:pt idx="24">
                  <c:v>6242817.1032090029</c:v>
                </c:pt>
                <c:pt idx="25">
                  <c:v>6425517.1223527668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E0-47D7-9160-F964CCC51C53}"/>
            </c:ext>
          </c:extLst>
        </c:ser>
        <c:ser>
          <c:idx val="3"/>
          <c:order val="4"/>
          <c:tx>
            <c:strRef>
              <c:f>'R2 Chart tables'!$S$93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'R2 Chart tables'!$T$89:$AS$89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tables'!$T$93:$AS$93</c:f>
              <c:numCache>
                <c:formatCode>#,##0</c:formatCode>
                <c:ptCount val="26"/>
                <c:pt idx="0">
                  <c:v>0</c:v>
                </c:pt>
                <c:pt idx="1">
                  <c:v>4.2056438319184544</c:v>
                </c:pt>
                <c:pt idx="2">
                  <c:v>8.3850950170025111</c:v>
                </c:pt>
                <c:pt idx="3">
                  <c:v>-5693.3544665818035</c:v>
                </c:pt>
                <c:pt idx="4">
                  <c:v>75451.569842601122</c:v>
                </c:pt>
                <c:pt idx="5">
                  <c:v>67393.957005591481</c:v>
                </c:pt>
                <c:pt idx="6">
                  <c:v>82458.243987681519</c:v>
                </c:pt>
                <c:pt idx="7">
                  <c:v>63352.106762293508</c:v>
                </c:pt>
                <c:pt idx="8">
                  <c:v>131510.68170678648</c:v>
                </c:pt>
                <c:pt idx="9">
                  <c:v>38283.499698019907</c:v>
                </c:pt>
                <c:pt idx="10">
                  <c:v>16751.302786309785</c:v>
                </c:pt>
                <c:pt idx="11">
                  <c:v>16755.399451976922</c:v>
                </c:pt>
                <c:pt idx="12">
                  <c:v>10986.398030898836</c:v>
                </c:pt>
                <c:pt idx="13">
                  <c:v>-75935.327804210378</c:v>
                </c:pt>
                <c:pt idx="14">
                  <c:v>-95408.21295640328</c:v>
                </c:pt>
                <c:pt idx="15">
                  <c:v>-112472.56884728609</c:v>
                </c:pt>
                <c:pt idx="16">
                  <c:v>-36049.357513748429</c:v>
                </c:pt>
                <c:pt idx="17">
                  <c:v>-118095.86677538311</c:v>
                </c:pt>
                <c:pt idx="18">
                  <c:v>-50112.259174158142</c:v>
                </c:pt>
                <c:pt idx="19">
                  <c:v>-25086.949703394686</c:v>
                </c:pt>
                <c:pt idx="20">
                  <c:v>20698.55109967908</c:v>
                </c:pt>
                <c:pt idx="21">
                  <c:v>-48688.013860072984</c:v>
                </c:pt>
                <c:pt idx="22">
                  <c:v>-52509.691522304885</c:v>
                </c:pt>
                <c:pt idx="23">
                  <c:v>-15547.59149345824</c:v>
                </c:pt>
                <c:pt idx="24">
                  <c:v>-339900.58076991991</c:v>
                </c:pt>
                <c:pt idx="25">
                  <c:v>-646182.91247573833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E0-47D7-9160-F964CCC51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2156496"/>
        <c:axId val="732153544"/>
      </c:barChart>
      <c:catAx>
        <c:axId val="73215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3544"/>
        <c:crosses val="autoZero"/>
        <c:auto val="1"/>
        <c:lblAlgn val="ctr"/>
        <c:lblOffset val="100"/>
        <c:noMultiLvlLbl val="0"/>
      </c:catAx>
      <c:valAx>
        <c:axId val="732153544"/>
        <c:scaling>
          <c:orientation val="minMax"/>
          <c:max val="50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649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'R2 Chart tables'!$S$101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'R2 Chart tables'!$T$96:$AS$96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tables'!$T$101:$AS$101</c:f>
              <c:numCache>
                <c:formatCode>#,##0</c:formatCode>
                <c:ptCount val="26"/>
                <c:pt idx="0">
                  <c:v>0</c:v>
                </c:pt>
                <c:pt idx="1">
                  <c:v>791.67638712046403</c:v>
                </c:pt>
                <c:pt idx="2">
                  <c:v>29486820.500464618</c:v>
                </c:pt>
                <c:pt idx="3">
                  <c:v>160831464.86075866</c:v>
                </c:pt>
                <c:pt idx="4">
                  <c:v>301617423.36266387</c:v>
                </c:pt>
                <c:pt idx="5">
                  <c:v>263985203.45433024</c:v>
                </c:pt>
                <c:pt idx="6">
                  <c:v>219863187.03332806</c:v>
                </c:pt>
                <c:pt idx="7">
                  <c:v>197474988.51192763</c:v>
                </c:pt>
                <c:pt idx="8">
                  <c:v>231567005.01248369</c:v>
                </c:pt>
                <c:pt idx="9">
                  <c:v>192576509.07439536</c:v>
                </c:pt>
                <c:pt idx="10">
                  <c:v>174124024.04223624</c:v>
                </c:pt>
                <c:pt idx="11">
                  <c:v>127413119.35917789</c:v>
                </c:pt>
                <c:pt idx="12">
                  <c:v>212917723.2497896</c:v>
                </c:pt>
                <c:pt idx="13">
                  <c:v>227622264.84913266</c:v>
                </c:pt>
                <c:pt idx="14">
                  <c:v>209113710.69955248</c:v>
                </c:pt>
                <c:pt idx="15">
                  <c:v>244992871.84757528</c:v>
                </c:pt>
                <c:pt idx="16">
                  <c:v>309159774.58252358</c:v>
                </c:pt>
                <c:pt idx="17">
                  <c:v>271670417.80189919</c:v>
                </c:pt>
                <c:pt idx="18">
                  <c:v>266092687.60558566</c:v>
                </c:pt>
                <c:pt idx="19">
                  <c:v>253447599.64639544</c:v>
                </c:pt>
                <c:pt idx="20">
                  <c:v>303954008.34994644</c:v>
                </c:pt>
                <c:pt idx="21">
                  <c:v>309355503.74698609</c:v>
                </c:pt>
                <c:pt idx="22">
                  <c:v>347920049.93151319</c:v>
                </c:pt>
                <c:pt idx="23">
                  <c:v>344355662.12101156</c:v>
                </c:pt>
                <c:pt idx="24">
                  <c:v>337223280.69242144</c:v>
                </c:pt>
                <c:pt idx="25">
                  <c:v>330488265.17911631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4-43B4-99AD-35F0CBF5B005}"/>
            </c:ext>
          </c:extLst>
        </c:ser>
        <c:ser>
          <c:idx val="2"/>
          <c:order val="1"/>
          <c:tx>
            <c:strRef>
              <c:f>'R2 Chart tables'!$S$99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 tables'!$T$96:$AS$96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tables'!$T$99:$AS$99</c:f>
              <c:numCache>
                <c:formatCode>#,##0</c:formatCode>
                <c:ptCount val="26"/>
                <c:pt idx="0">
                  <c:v>0</c:v>
                </c:pt>
                <c:pt idx="1">
                  <c:v>9.1565085312912675</c:v>
                </c:pt>
                <c:pt idx="2">
                  <c:v>-68384.862550087113</c:v>
                </c:pt>
                <c:pt idx="3">
                  <c:v>6652153.2363141719</c:v>
                </c:pt>
                <c:pt idx="4">
                  <c:v>4653286.9338688087</c:v>
                </c:pt>
                <c:pt idx="5">
                  <c:v>1082536.9648847957</c:v>
                </c:pt>
                <c:pt idx="6">
                  <c:v>1165615.6042240805</c:v>
                </c:pt>
                <c:pt idx="7">
                  <c:v>2448356.7793952208</c:v>
                </c:pt>
                <c:pt idx="8">
                  <c:v>944413.13880450744</c:v>
                </c:pt>
                <c:pt idx="9">
                  <c:v>2667759.2396244872</c:v>
                </c:pt>
                <c:pt idx="10">
                  <c:v>4062935.6799560129</c:v>
                </c:pt>
                <c:pt idx="11">
                  <c:v>7863112.1590330563</c:v>
                </c:pt>
                <c:pt idx="12">
                  <c:v>12199888.895310568</c:v>
                </c:pt>
                <c:pt idx="13">
                  <c:v>14707666.972835345</c:v>
                </c:pt>
                <c:pt idx="14">
                  <c:v>19873036.309871797</c:v>
                </c:pt>
                <c:pt idx="15">
                  <c:v>19034329.66137252</c:v>
                </c:pt>
                <c:pt idx="16">
                  <c:v>19687602.190952063</c:v>
                </c:pt>
                <c:pt idx="17">
                  <c:v>23824306.591943592</c:v>
                </c:pt>
                <c:pt idx="18">
                  <c:v>28971575.024984218</c:v>
                </c:pt>
                <c:pt idx="19">
                  <c:v>35130122.035779595</c:v>
                </c:pt>
                <c:pt idx="20">
                  <c:v>46932950.602232061</c:v>
                </c:pt>
                <c:pt idx="21">
                  <c:v>58900713.69121477</c:v>
                </c:pt>
                <c:pt idx="22">
                  <c:v>70214552.833034366</c:v>
                </c:pt>
                <c:pt idx="23">
                  <c:v>76015311.400210604</c:v>
                </c:pt>
                <c:pt idx="24">
                  <c:v>89965832.603904247</c:v>
                </c:pt>
                <c:pt idx="25">
                  <c:v>103139129.30238739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F4-43B4-99AD-35F0CBF5B005}"/>
            </c:ext>
          </c:extLst>
        </c:ser>
        <c:ser>
          <c:idx val="1"/>
          <c:order val="2"/>
          <c:tx>
            <c:strRef>
              <c:f>'R2 Chart tables'!$S$98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 tables'!$T$96:$AS$96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tables'!$T$98:$AS$98</c:f>
              <c:numCache>
                <c:formatCode>#,##0</c:formatCode>
                <c:ptCount val="26"/>
                <c:pt idx="0">
                  <c:v>0</c:v>
                </c:pt>
                <c:pt idx="1">
                  <c:v>23.276052040138207</c:v>
                </c:pt>
                <c:pt idx="2">
                  <c:v>24.111675479599644</c:v>
                </c:pt>
                <c:pt idx="3">
                  <c:v>-11544575.290531661</c:v>
                </c:pt>
                <c:pt idx="4">
                  <c:v>6547083.5446317606</c:v>
                </c:pt>
                <c:pt idx="5">
                  <c:v>13915581.591698349</c:v>
                </c:pt>
                <c:pt idx="6">
                  <c:v>35279682.031583637</c:v>
                </c:pt>
                <c:pt idx="7">
                  <c:v>34639727.785832368</c:v>
                </c:pt>
                <c:pt idx="8">
                  <c:v>28041787.10456191</c:v>
                </c:pt>
                <c:pt idx="9">
                  <c:v>36391783.887639292</c:v>
                </c:pt>
                <c:pt idx="10">
                  <c:v>30777227.553132325</c:v>
                </c:pt>
                <c:pt idx="11">
                  <c:v>32564676.793102045</c:v>
                </c:pt>
                <c:pt idx="12">
                  <c:v>36834853.145091183</c:v>
                </c:pt>
                <c:pt idx="13">
                  <c:v>42298005.283020668</c:v>
                </c:pt>
                <c:pt idx="14">
                  <c:v>38396602.503097445</c:v>
                </c:pt>
                <c:pt idx="15">
                  <c:v>38396616.082790621</c:v>
                </c:pt>
                <c:pt idx="16">
                  <c:v>33789838.280061647</c:v>
                </c:pt>
                <c:pt idx="17">
                  <c:v>29384750.000953645</c:v>
                </c:pt>
                <c:pt idx="18">
                  <c:v>27804170.285358686</c:v>
                </c:pt>
                <c:pt idx="19">
                  <c:v>25290983.794225756</c:v>
                </c:pt>
                <c:pt idx="20">
                  <c:v>30303216.200084977</c:v>
                </c:pt>
                <c:pt idx="21">
                  <c:v>33717401.205728516</c:v>
                </c:pt>
                <c:pt idx="22">
                  <c:v>29968803.646502152</c:v>
                </c:pt>
                <c:pt idx="23">
                  <c:v>29968803.646502152</c:v>
                </c:pt>
                <c:pt idx="24">
                  <c:v>37614380.077876225</c:v>
                </c:pt>
                <c:pt idx="25">
                  <c:v>44833998.99324362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F4-43B4-99AD-35F0CBF5B005}"/>
            </c:ext>
          </c:extLst>
        </c:ser>
        <c:ser>
          <c:idx val="0"/>
          <c:order val="3"/>
          <c:tx>
            <c:strRef>
              <c:f>'R2 Chart tables'!$S$97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 tables'!$T$96:$AS$96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tables'!$T$97:$AS$97</c:f>
              <c:numCache>
                <c:formatCode>#,##0</c:formatCode>
                <c:ptCount val="26"/>
                <c:pt idx="0">
                  <c:v>0</c:v>
                </c:pt>
                <c:pt idx="1">
                  <c:v>-0.21744508918891886</c:v>
                </c:pt>
                <c:pt idx="2">
                  <c:v>-2606840.8506316543</c:v>
                </c:pt>
                <c:pt idx="3">
                  <c:v>-1730223.9221021901</c:v>
                </c:pt>
                <c:pt idx="4">
                  <c:v>-6315895.5221180338</c:v>
                </c:pt>
                <c:pt idx="5">
                  <c:v>-17229740.875053246</c:v>
                </c:pt>
                <c:pt idx="6">
                  <c:v>-17229738.994434174</c:v>
                </c:pt>
                <c:pt idx="7">
                  <c:v>-17229737.113921586</c:v>
                </c:pt>
                <c:pt idx="8">
                  <c:v>-17223681.612876002</c:v>
                </c:pt>
                <c:pt idx="9">
                  <c:v>-17223679.731420022</c:v>
                </c:pt>
                <c:pt idx="10">
                  <c:v>-17305071.2912734</c:v>
                </c:pt>
                <c:pt idx="11">
                  <c:v>-15823219.760863353</c:v>
                </c:pt>
                <c:pt idx="12">
                  <c:v>-15944214.127526479</c:v>
                </c:pt>
                <c:pt idx="13">
                  <c:v>-17025885.732083797</c:v>
                </c:pt>
                <c:pt idx="14">
                  <c:v>-17658265.552164499</c:v>
                </c:pt>
                <c:pt idx="15">
                  <c:v>-17642253.16725409</c:v>
                </c:pt>
                <c:pt idx="16">
                  <c:v>-21161171.227925271</c:v>
                </c:pt>
                <c:pt idx="17">
                  <c:v>-21161169.347515356</c:v>
                </c:pt>
                <c:pt idx="18">
                  <c:v>-21161167.467128899</c:v>
                </c:pt>
                <c:pt idx="19">
                  <c:v>-21422113.860561542</c:v>
                </c:pt>
                <c:pt idx="20">
                  <c:v>-23392376.508010834</c:v>
                </c:pt>
                <c:pt idx="21">
                  <c:v>-24715513.13556768</c:v>
                </c:pt>
                <c:pt idx="22">
                  <c:v>-32454133.882958904</c:v>
                </c:pt>
                <c:pt idx="23">
                  <c:v>-32731662.904482059</c:v>
                </c:pt>
                <c:pt idx="24">
                  <c:v>-32097906.739845179</c:v>
                </c:pt>
                <c:pt idx="25">
                  <c:v>-31499458.992312714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F4-43B4-99AD-35F0CBF5B005}"/>
            </c:ext>
          </c:extLst>
        </c:ser>
        <c:ser>
          <c:idx val="3"/>
          <c:order val="4"/>
          <c:tx>
            <c:strRef>
              <c:f>'R2 Chart tables'!$S$100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'R2 Chart tables'!$T$96:$AS$96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tables'!$T$100:$AS$100</c:f>
              <c:numCache>
                <c:formatCode>#,##0</c:formatCode>
                <c:ptCount val="26"/>
                <c:pt idx="0">
                  <c:v>0</c:v>
                </c:pt>
                <c:pt idx="1">
                  <c:v>2.08014184129763</c:v>
                </c:pt>
                <c:pt idx="2">
                  <c:v>4.104311866932921</c:v>
                </c:pt>
                <c:pt idx="3">
                  <c:v>2869.8677651920034</c:v>
                </c:pt>
                <c:pt idx="4">
                  <c:v>-22097.418933111374</c:v>
                </c:pt>
                <c:pt idx="5">
                  <c:v>-117032.1183944192</c:v>
                </c:pt>
                <c:pt idx="6">
                  <c:v>-117029.99156778747</c:v>
                </c:pt>
                <c:pt idx="7">
                  <c:v>-214959.84701879212</c:v>
                </c:pt>
                <c:pt idx="8">
                  <c:v>-217580.72125630183</c:v>
                </c:pt>
                <c:pt idx="9">
                  <c:v>-214761.01680814032</c:v>
                </c:pt>
                <c:pt idx="10">
                  <c:v>-213175.43162462377</c:v>
                </c:pt>
                <c:pt idx="11">
                  <c:v>32797.800425245427</c:v>
                </c:pt>
                <c:pt idx="12">
                  <c:v>419815.70615248091</c:v>
                </c:pt>
                <c:pt idx="13">
                  <c:v>537162.8917716383</c:v>
                </c:pt>
                <c:pt idx="14">
                  <c:v>700058.07386516954</c:v>
                </c:pt>
                <c:pt idx="15">
                  <c:v>789413.72000220744</c:v>
                </c:pt>
                <c:pt idx="16">
                  <c:v>890357.6602780727</c:v>
                </c:pt>
                <c:pt idx="17">
                  <c:v>957565.06567229272</c:v>
                </c:pt>
                <c:pt idx="18">
                  <c:v>919377.04103411606</c:v>
                </c:pt>
                <c:pt idx="19">
                  <c:v>944297.87279628625</c:v>
                </c:pt>
                <c:pt idx="20">
                  <c:v>336732.29942220019</c:v>
                </c:pt>
                <c:pt idx="21">
                  <c:v>249739.81368070166</c:v>
                </c:pt>
                <c:pt idx="22">
                  <c:v>41377.830403970351</c:v>
                </c:pt>
                <c:pt idx="23">
                  <c:v>-176848.44541979409</c:v>
                </c:pt>
                <c:pt idx="24">
                  <c:v>-888443.22239358106</c:v>
                </c:pt>
                <c:pt idx="25">
                  <c:v>-1560392.9645784604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F4-43B4-99AD-35F0CBF5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2156496"/>
        <c:axId val="732153544"/>
      </c:barChart>
      <c:catAx>
        <c:axId val="73215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3544"/>
        <c:crosses val="autoZero"/>
        <c:auto val="1"/>
        <c:lblAlgn val="ctr"/>
        <c:lblOffset val="100"/>
        <c:noMultiLvlLbl val="0"/>
      </c:catAx>
      <c:valAx>
        <c:axId val="732153544"/>
        <c:scaling>
          <c:orientation val="minMax"/>
          <c:max val="50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649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2A-469F-AED9-9CD75C07C228}"/>
              </c:ext>
            </c:extLst>
          </c:dPt>
          <c:cat>
            <c:multiLvlStrRef>
              <c:f>'R2 Chart tables'!$C$7:$H$8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tables'!$C$13:$H$13</c:f>
              <c:numCache>
                <c:formatCode>#,##0</c:formatCode>
                <c:ptCount val="6"/>
                <c:pt idx="0">
                  <c:v>201766981.49571162</c:v>
                </c:pt>
                <c:pt idx="1">
                  <c:v>161531850.64556932</c:v>
                </c:pt>
                <c:pt idx="2">
                  <c:v>-3590113.0142445676</c:v>
                </c:pt>
                <c:pt idx="3">
                  <c:v>42989003.289706849</c:v>
                </c:pt>
                <c:pt idx="4">
                  <c:v>7917222.1355809607</c:v>
                </c:pt>
                <c:pt idx="5">
                  <c:v>116643334.63386637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A-469F-AED9-9CD75C07C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921216"/>
        <c:axId val="661918592"/>
      </c:barChart>
      <c:catAx>
        <c:axId val="66192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918592"/>
        <c:crosses val="autoZero"/>
        <c:auto val="1"/>
        <c:lblAlgn val="ctr"/>
        <c:lblOffset val="100"/>
        <c:noMultiLvlLbl val="0"/>
      </c:catAx>
      <c:valAx>
        <c:axId val="661918592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92121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18-44A7-8EF0-3ADF3663647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18-44A7-8EF0-3ADF3663647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18-44A7-8EF0-3ADF36636471}"/>
              </c:ext>
            </c:extLst>
          </c:dPt>
          <c:cat>
            <c:multiLvlStrRef>
              <c:f>'R2 Chart tables'!$AU$5:$AV$22</c:f>
              <c:multiLvlStrCache>
                <c:ptCount val="1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1C</c:v>
                  </c:pt>
                  <c:pt idx="9">
                    <c:v>Option 1D</c:v>
                  </c:pt>
                  <c:pt idx="10">
                    <c:v>Option 5A</c:v>
                  </c:pt>
                  <c:pt idx="11">
                    <c:v>Option 5B</c:v>
                  </c:pt>
                  <c:pt idx="12">
                    <c:v>Option 1A</c:v>
                  </c:pt>
                  <c:pt idx="13">
                    <c:v>Option 1B</c:v>
                  </c:pt>
                  <c:pt idx="14">
                    <c:v>Option 1C</c:v>
                  </c:pt>
                  <c:pt idx="15">
                    <c:v>Option 1D</c:v>
                  </c:pt>
                  <c:pt idx="16">
                    <c:v>Option 5A</c:v>
                  </c:pt>
                  <c:pt idx="17">
                    <c:v>Option 5B</c:v>
                  </c:pt>
                </c:lvl>
                <c:lvl>
                  <c:pt idx="0">
                    <c:v>High capex</c:v>
                  </c:pt>
                  <c:pt idx="6">
                    <c:v>Central capex</c:v>
                  </c:pt>
                  <c:pt idx="12">
                    <c:v>Low capex</c:v>
                  </c:pt>
                </c:lvl>
              </c:multiLvlStrCache>
            </c:multiLvlStrRef>
          </c:cat>
          <c:val>
            <c:numRef>
              <c:f>'R2 Chart tables'!$AW$5:$AW$22</c:f>
              <c:numCache>
                <c:formatCode>#,##0</c:formatCode>
                <c:ptCount val="18"/>
                <c:pt idx="0">
                  <c:v>133551163.94077972</c:v>
                </c:pt>
                <c:pt idx="1">
                  <c:v>138899095.19952193</c:v>
                </c:pt>
                <c:pt idx="2">
                  <c:v>-48443998.949802876</c:v>
                </c:pt>
                <c:pt idx="3">
                  <c:v>28241162.278639644</c:v>
                </c:pt>
                <c:pt idx="4">
                  <c:v>-21643867.534196716</c:v>
                </c:pt>
                <c:pt idx="5">
                  <c:v>-260385.56324265897</c:v>
                </c:pt>
                <c:pt idx="6">
                  <c:v>172584370.92333224</c:v>
                </c:pt>
                <c:pt idx="7">
                  <c:v>146366898.93404797</c:v>
                </c:pt>
                <c:pt idx="8">
                  <c:v>-16878595.701776385</c:v>
                </c:pt>
                <c:pt idx="9">
                  <c:v>38272540.429495521</c:v>
                </c:pt>
                <c:pt idx="10">
                  <c:v>-246299.59321111068</c:v>
                </c:pt>
                <c:pt idx="11">
                  <c:v>87076302.921990171</c:v>
                </c:pt>
                <c:pt idx="12">
                  <c:v>211617577.9058848</c:v>
                </c:pt>
                <c:pt idx="13">
                  <c:v>153834702.66857401</c:v>
                </c:pt>
                <c:pt idx="14">
                  <c:v>14686807.546250127</c:v>
                </c:pt>
                <c:pt idx="15">
                  <c:v>48303918.580351405</c:v>
                </c:pt>
                <c:pt idx="16">
                  <c:v>21151268.347774494</c:v>
                </c:pt>
                <c:pt idx="17">
                  <c:v>174412991.40722311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18-44A7-8EF0-3ADF36636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9488688"/>
        <c:axId val="689482784"/>
      </c:barChart>
      <c:catAx>
        <c:axId val="68948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482784"/>
        <c:crosses val="autoZero"/>
        <c:auto val="1"/>
        <c:lblAlgn val="ctr"/>
        <c:lblOffset val="100"/>
        <c:noMultiLvlLbl val="0"/>
      </c:catAx>
      <c:valAx>
        <c:axId val="689482784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48868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21-47A0-8BC6-AEE3B47CF4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21-47A0-8BC6-AEE3B47CF4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21-47A0-8BC6-AEE3B47CF48E}"/>
              </c:ext>
            </c:extLst>
          </c:dPt>
          <c:cat>
            <c:multiLvlStrRef>
              <c:f>'R2 Chart tables'!$AU$25:$AV$42</c:f>
              <c:multiLvlStrCache>
                <c:ptCount val="1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  <c:pt idx="6">
                    <c:v>Option 1A</c:v>
                  </c:pt>
                  <c:pt idx="7">
                    <c:v>Option 1B</c:v>
                  </c:pt>
                  <c:pt idx="8">
                    <c:v>Option 1C</c:v>
                  </c:pt>
                  <c:pt idx="9">
                    <c:v>Option 1D</c:v>
                  </c:pt>
                  <c:pt idx="10">
                    <c:v>Option 5A</c:v>
                  </c:pt>
                  <c:pt idx="11">
                    <c:v>Option 5B</c:v>
                  </c:pt>
                  <c:pt idx="12">
                    <c:v>Option 1A</c:v>
                  </c:pt>
                  <c:pt idx="13">
                    <c:v>Option 1B</c:v>
                  </c:pt>
                  <c:pt idx="14">
                    <c:v>Option 1C</c:v>
                  </c:pt>
                  <c:pt idx="15">
                    <c:v>Option 1D</c:v>
                  </c:pt>
                  <c:pt idx="16">
                    <c:v>Option 5A</c:v>
                  </c:pt>
                  <c:pt idx="17">
                    <c:v>Option 5B</c:v>
                  </c:pt>
                </c:lvl>
                <c:lvl>
                  <c:pt idx="0">
                    <c:v>High discount rate</c:v>
                  </c:pt>
                  <c:pt idx="6">
                    <c:v>Central discount rate</c:v>
                  </c:pt>
                  <c:pt idx="12">
                    <c:v>Low discount rate</c:v>
                  </c:pt>
                </c:lvl>
              </c:multiLvlStrCache>
            </c:multiLvlStrRef>
          </c:cat>
          <c:val>
            <c:numRef>
              <c:f>'R2 Chart tables'!$AW$25:$AW$42</c:f>
              <c:numCache>
                <c:formatCode>#,##0</c:formatCode>
                <c:ptCount val="18"/>
                <c:pt idx="0">
                  <c:v>115564660.5328531</c:v>
                </c:pt>
                <c:pt idx="1">
                  <c:v>97317803.827302054</c:v>
                </c:pt>
                <c:pt idx="2">
                  <c:v>-18586425.120323811</c:v>
                </c:pt>
                <c:pt idx="3">
                  <c:v>37920845.762907878</c:v>
                </c:pt>
                <c:pt idx="4">
                  <c:v>-8967669.8390785642</c:v>
                </c:pt>
                <c:pt idx="5">
                  <c:v>36815955.310906708</c:v>
                </c:pt>
                <c:pt idx="6">
                  <c:v>172584370.92333224</c:v>
                </c:pt>
                <c:pt idx="7">
                  <c:v>146366898.93404797</c:v>
                </c:pt>
                <c:pt idx="8">
                  <c:v>-16878595.701776385</c:v>
                </c:pt>
                <c:pt idx="9">
                  <c:v>38272540.429495521</c:v>
                </c:pt>
                <c:pt idx="10">
                  <c:v>-246299.59321111068</c:v>
                </c:pt>
                <c:pt idx="11">
                  <c:v>87076302.921990171</c:v>
                </c:pt>
                <c:pt idx="12">
                  <c:v>265084528.66510379</c:v>
                </c:pt>
                <c:pt idx="13">
                  <c:v>228770500.83489424</c:v>
                </c:pt>
                <c:pt idx="14">
                  <c:v>-16838443.267585576</c:v>
                </c:pt>
                <c:pt idx="15">
                  <c:v>35162987.368694611</c:v>
                </c:pt>
                <c:pt idx="16">
                  <c:v>13564465.608480189</c:v>
                </c:pt>
                <c:pt idx="17">
                  <c:v>164446836.71496478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21-47A0-8BC6-AEE3B47C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19961128"/>
        <c:axId val="719961784"/>
      </c:barChart>
      <c:catAx>
        <c:axId val="719961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9961784"/>
        <c:crosses val="autoZero"/>
        <c:auto val="1"/>
        <c:lblAlgn val="ctr"/>
        <c:lblOffset val="100"/>
        <c:noMultiLvlLbl val="0"/>
      </c:catAx>
      <c:valAx>
        <c:axId val="7199617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9961128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000" b="0"/>
              <a:t>Neutral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E-4ADC-94DC-5CDFF9F1AA88}"/>
              </c:ext>
            </c:extLst>
          </c:dPt>
          <c:cat>
            <c:strRef>
              <c:f>'R2 Chart tables'!$C$8:$H$8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cat>
          <c:val>
            <c:numRef>
              <c:f>'R2 Chart tables'!$C$9:$H$9</c:f>
              <c:numCache>
                <c:formatCode>#,##0</c:formatCode>
                <c:ptCount val="6"/>
                <c:pt idx="0">
                  <c:v>217876111.24950811</c:v>
                </c:pt>
                <c:pt idx="1">
                  <c:v>149459233.8321102</c:v>
                </c:pt>
                <c:pt idx="2">
                  <c:v>14771397.611105647</c:v>
                </c:pt>
                <c:pt idx="3">
                  <c:v>54257097.620131977</c:v>
                </c:pt>
                <c:pt idx="4">
                  <c:v>11214260.71044408</c:v>
                </c:pt>
                <c:pt idx="5">
                  <c:v>133128527.5081757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4E-4ADC-94DC-5CDFF9F1A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000" b="0"/>
              <a:t>Slow change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BC9B-4163-B151-E3E6CED1BF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9B-4163-B151-E3E6CED1BF68}"/>
              </c:ext>
            </c:extLst>
          </c:dPt>
          <c:cat>
            <c:strRef>
              <c:f>'R2 Chart tables'!$C$8:$H$8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cat>
          <c:val>
            <c:numRef>
              <c:f>'R2 Chart tables'!$C$11:$H$11</c:f>
              <c:numCache>
                <c:formatCode>#,##0</c:formatCode>
                <c:ptCount val="6"/>
                <c:pt idx="0">
                  <c:v>78842469.285307124</c:v>
                </c:pt>
                <c:pt idx="1">
                  <c:v>41293274.352101244</c:v>
                </c:pt>
                <c:pt idx="2">
                  <c:v>27720624.128507264</c:v>
                </c:pt>
                <c:pt idx="3">
                  <c:v>73918288.997260779</c:v>
                </c:pt>
                <c:pt idx="4">
                  <c:v>-1158818.0067716818</c:v>
                </c:pt>
                <c:pt idx="5">
                  <c:v>71263133.922105327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9B-4163-B151-E3E6CED1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000" b="0"/>
              <a:t>Neutral with low emissions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7FF9-48FA-AB38-503255F88E15}"/>
              </c:ext>
            </c:extLst>
          </c:dPt>
          <c:cat>
            <c:strRef>
              <c:f>'R2 Chart tables'!$C$8:$H$8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cat>
          <c:val>
            <c:numRef>
              <c:f>'R2 Chart tables'!$C$10:$H$10</c:f>
              <c:numCache>
                <c:formatCode>#,##0</c:formatCode>
                <c:ptCount val="6"/>
                <c:pt idx="0">
                  <c:v>220555161.02378336</c:v>
                </c:pt>
                <c:pt idx="1">
                  <c:v>201003801.52974114</c:v>
                </c:pt>
                <c:pt idx="2">
                  <c:v>-37161494.321572244</c:v>
                </c:pt>
                <c:pt idx="3">
                  <c:v>17984540.860237904</c:v>
                </c:pt>
                <c:pt idx="4">
                  <c:v>3815864.6533648157</c:v>
                </c:pt>
                <c:pt idx="5">
                  <c:v>96136547.222787485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9-48FA-AB38-503255F88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000" b="0"/>
              <a:t>Fast change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EA73-4DE4-81F8-FC31525B220B}"/>
              </c:ext>
            </c:extLst>
          </c:dPt>
          <c:cat>
            <c:strRef>
              <c:f>'R2 Chart tables'!$C$8:$H$8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cat>
          <c:val>
            <c:numRef>
              <c:f>'R2 Chart tables'!$C$12:$H$12</c:f>
              <c:numCache>
                <c:formatCode>#,##0</c:formatCode>
                <c:ptCount val="6"/>
                <c:pt idx="0">
                  <c:v>289794184.42424792</c:v>
                </c:pt>
                <c:pt idx="1">
                  <c:v>254371092.8683247</c:v>
                </c:pt>
                <c:pt idx="2">
                  <c:v>-19690979.475018937</c:v>
                </c:pt>
                <c:pt idx="3">
                  <c:v>25796085.681196719</c:v>
                </c:pt>
                <c:pt idx="4">
                  <c:v>17797581.18528663</c:v>
                </c:pt>
                <c:pt idx="5">
                  <c:v>166045129.88239703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DE4-81F8-FC31525B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0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0-4FD0-95A8-6E90C732450B}"/>
              </c:ext>
            </c:extLst>
          </c:dPt>
          <c:cat>
            <c:multiLvlStrRef>
              <c:f>'R2 Chart tables'!$C$7:$H$8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tables'!$C$9:$H$9</c:f>
              <c:numCache>
                <c:formatCode>#,##0</c:formatCode>
                <c:ptCount val="6"/>
                <c:pt idx="0">
                  <c:v>217876111.24950811</c:v>
                </c:pt>
                <c:pt idx="1">
                  <c:v>149459233.8321102</c:v>
                </c:pt>
                <c:pt idx="2">
                  <c:v>14771397.611105647</c:v>
                </c:pt>
                <c:pt idx="3">
                  <c:v>54257097.620131977</c:v>
                </c:pt>
                <c:pt idx="4">
                  <c:v>11214260.71044408</c:v>
                </c:pt>
                <c:pt idx="5">
                  <c:v>133128527.5081757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E0-4FD0-95A8-6E90C7324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'R2 Chart tables'!$K$32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tables'!$L$32:$Q$32</c:f>
              <c:numCache>
                <c:formatCode>#,##0</c:formatCode>
                <c:ptCount val="6"/>
                <c:pt idx="0">
                  <c:v>242983383.85734767</c:v>
                </c:pt>
                <c:pt idx="1">
                  <c:v>137823185.33062863</c:v>
                </c:pt>
                <c:pt idx="2">
                  <c:v>66166138.968611911</c:v>
                </c:pt>
                <c:pt idx="3">
                  <c:v>44635169.833881781</c:v>
                </c:pt>
                <c:pt idx="4">
                  <c:v>61498424.079675011</c:v>
                </c:pt>
                <c:pt idx="5">
                  <c:v>307492120.39837444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556-4834-A4B0-1A260581A216}"/>
            </c:ext>
          </c:extLst>
        </c:ser>
        <c:ser>
          <c:idx val="4"/>
          <c:order val="1"/>
          <c:tx>
            <c:strRef>
              <c:f>'R2 Chart tables'!$K$30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tables'!$L$30:$Q$30</c:f>
              <c:numCache>
                <c:formatCode>#,##0</c:formatCode>
                <c:ptCount val="6"/>
                <c:pt idx="0">
                  <c:v>65664487.245310947</c:v>
                </c:pt>
                <c:pt idx="1">
                  <c:v>51017867.559981771</c:v>
                </c:pt>
                <c:pt idx="2">
                  <c:v>16361479.750452749</c:v>
                </c:pt>
                <c:pt idx="3">
                  <c:v>13736378.287266115</c:v>
                </c:pt>
                <c:pt idx="4">
                  <c:v>16034538.867813347</c:v>
                </c:pt>
                <c:pt idx="5">
                  <c:v>80172694.339068428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556-4834-A4B0-1A260581A216}"/>
            </c:ext>
          </c:extLst>
        </c:ser>
        <c:ser>
          <c:idx val="3"/>
          <c:order val="2"/>
          <c:tx>
            <c:strRef>
              <c:f>'R2 Chart tables'!$K$29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tables'!$L$29:$Q$29</c:f>
              <c:numCache>
                <c:formatCode>#,##0</c:formatCode>
                <c:ptCount val="6"/>
                <c:pt idx="0">
                  <c:v>36018541.134494737</c:v>
                </c:pt>
                <c:pt idx="1">
                  <c:v>33625787.705896534</c:v>
                </c:pt>
                <c:pt idx="2">
                  <c:v>-9779498.5142182764</c:v>
                </c:pt>
                <c:pt idx="3">
                  <c:v>-5809946.4398162905</c:v>
                </c:pt>
                <c:pt idx="4">
                  <c:v>8290857.8903845185</c:v>
                </c:pt>
                <c:pt idx="5">
                  <c:v>41454289.451922685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56-4834-A4B0-1A260581A216}"/>
            </c:ext>
          </c:extLst>
        </c:ser>
        <c:ser>
          <c:idx val="2"/>
          <c:order val="3"/>
          <c:tx>
            <c:strRef>
              <c:f>'R2 Chart tables'!$K$28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tables'!$L$28:$Q$28</c:f>
              <c:numCache>
                <c:formatCode>#,##0</c:formatCode>
                <c:ptCount val="6"/>
                <c:pt idx="0">
                  <c:v>7299523.1041077469</c:v>
                </c:pt>
                <c:pt idx="1">
                  <c:v>-11513849.513774754</c:v>
                </c:pt>
                <c:pt idx="2">
                  <c:v>15291770.282585343</c:v>
                </c:pt>
                <c:pt idx="3">
                  <c:v>4707762.1244326513</c:v>
                </c:pt>
                <c:pt idx="4">
                  <c:v>377667.12358162826</c:v>
                </c:pt>
                <c:pt idx="5">
                  <c:v>1888335.617908102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56-4834-A4B0-1A260581A216}"/>
            </c:ext>
          </c:extLst>
        </c:ser>
        <c:ser>
          <c:idx val="5"/>
          <c:order val="4"/>
          <c:tx>
            <c:strRef>
              <c:f>'R2 Chart tables'!$K$31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tables'!$L$31:$Q$31</c:f>
              <c:numCache>
                <c:formatCode>#,##0</c:formatCode>
                <c:ptCount val="6"/>
                <c:pt idx="0">
                  <c:v>29644042.495215897</c:v>
                </c:pt>
                <c:pt idx="1">
                  <c:v>19474649.604612637</c:v>
                </c:pt>
                <c:pt idx="2">
                  <c:v>6429592.8460859302</c:v>
                </c:pt>
                <c:pt idx="3">
                  <c:v>1527971.1167833325</c:v>
                </c:pt>
                <c:pt idx="4">
                  <c:v>6290359.4106375426</c:v>
                </c:pt>
                <c:pt idx="5">
                  <c:v>31451797.05318772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556-4834-A4B0-1A260581A216}"/>
            </c:ext>
          </c:extLst>
        </c:ser>
        <c:ser>
          <c:idx val="0"/>
          <c:order val="5"/>
          <c:tx>
            <c:strRef>
              <c:f>'R2 Chart tables'!$K$26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tables'!$L$26:$Q$26</c:f>
              <c:numCache>
                <c:formatCode>#,##0</c:formatCode>
                <c:ptCount val="6"/>
                <c:pt idx="0">
                  <c:v>-138464937.18402365</c:v>
                </c:pt>
                <c:pt idx="1">
                  <c:v>-25715467.479306318</c:v>
                </c:pt>
                <c:pt idx="2">
                  <c:v>-112749469.70471734</c:v>
                </c:pt>
                <c:pt idx="3">
                  <c:v>-35831399.270566955</c:v>
                </c:pt>
                <c:pt idx="4">
                  <c:v>-79988839.483082816</c:v>
                </c:pt>
                <c:pt idx="5">
                  <c:v>-332809646.37239742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56-4834-A4B0-1A260581A216}"/>
            </c:ext>
          </c:extLst>
        </c:ser>
        <c:ser>
          <c:idx val="1"/>
          <c:order val="6"/>
          <c:tx>
            <c:strRef>
              <c:f>'R2 Chart tables'!$K$27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'R2 Chart tables'!$L$24:$Q$25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tables'!$L$27:$Q$27</c:f>
              <c:numCache>
                <c:formatCode>#,##0</c:formatCode>
                <c:ptCount val="6"/>
                <c:pt idx="0">
                  <c:v>-22589879.628669944</c:v>
                </c:pt>
                <c:pt idx="1">
                  <c:v>-3708371.6782973711</c:v>
                </c:pt>
                <c:pt idx="2">
                  <c:v>-18881507.95037258</c:v>
                </c:pt>
                <c:pt idx="3">
                  <c:v>-4981394.7917427355</c:v>
                </c:pt>
                <c:pt idx="4">
                  <c:v>-8687143.2356444057</c:v>
                </c:pt>
                <c:pt idx="5">
                  <c:v>-33513043.265276469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56-4834-A4B0-1A260581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03496928"/>
        <c:axId val="703497256"/>
      </c:barChart>
      <c:scatterChart>
        <c:scatterStyle val="lineMarker"/>
        <c:varyColors val="0"/>
        <c:ser>
          <c:idx val="7"/>
          <c:order val="7"/>
          <c:tx>
            <c:strRef>
              <c:f>'R2 Chart tables'!$K$33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'R2 Chart tables'!$L$25:$Q$25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xVal>
          <c:yVal>
            <c:numRef>
              <c:f>'R2 Chart tables'!$L$33:$Q$33</c:f>
              <c:numCache>
                <c:formatCode>#,##0</c:formatCode>
                <c:ptCount val="6"/>
                <c:pt idx="0">
                  <c:v>220555161.02378339</c:v>
                </c:pt>
                <c:pt idx="1">
                  <c:v>201003801.52974114</c:v>
                </c:pt>
                <c:pt idx="2">
                  <c:v>-37161494.321572259</c:v>
                </c:pt>
                <c:pt idx="3">
                  <c:v>17984540.8602379</c:v>
                </c:pt>
                <c:pt idx="4">
                  <c:v>3815864.6533648446</c:v>
                </c:pt>
                <c:pt idx="5">
                  <c:v>96136547.222787499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E556-4834-A4B0-1A260581A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496928"/>
        <c:axId val="703497256"/>
      </c:scatterChart>
      <c:catAx>
        <c:axId val="703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7256"/>
        <c:crosses val="autoZero"/>
        <c:auto val="1"/>
        <c:lblAlgn val="ctr"/>
        <c:lblOffset val="100"/>
        <c:noMultiLvlLbl val="0"/>
      </c:catAx>
      <c:valAx>
        <c:axId val="703497256"/>
        <c:scaling>
          <c:orientation val="minMax"/>
          <c:min val="-4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6928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9.711209150326798E-2"/>
          <c:y val="0.76363722222222219"/>
          <c:w val="0.88048169934640519"/>
          <c:h val="0.21519611111111109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'R2 Chart tables'!$K$43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tables'!$L$43:$Q$43</c:f>
              <c:numCache>
                <c:formatCode>#,##0</c:formatCode>
                <c:ptCount val="6"/>
                <c:pt idx="0">
                  <c:v>171244375.91349456</c:v>
                </c:pt>
                <c:pt idx="1">
                  <c:v>-21510624.410984173</c:v>
                </c:pt>
                <c:pt idx="2">
                  <c:v>191859454.44817239</c:v>
                </c:pt>
                <c:pt idx="3">
                  <c:v>139515493.22842842</c:v>
                </c:pt>
                <c:pt idx="4">
                  <c:v>75912623.163734883</c:v>
                </c:pt>
                <c:pt idx="5">
                  <c:v>379563115.81867456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84A-4A56-B6D1-5FC7ED0E2881}"/>
            </c:ext>
          </c:extLst>
        </c:ser>
        <c:ser>
          <c:idx val="4"/>
          <c:order val="1"/>
          <c:tx>
            <c:strRef>
              <c:f>'R2 Chart tables'!$K$41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tables'!$L$41:$Q$41</c:f>
              <c:numCache>
                <c:formatCode>#,##0</c:formatCode>
                <c:ptCount val="6"/>
                <c:pt idx="0">
                  <c:v>54169237.291567065</c:v>
                </c:pt>
                <c:pt idx="1">
                  <c:v>88847527.030822814</c:v>
                </c:pt>
                <c:pt idx="2">
                  <c:v>-37791152.67978359</c:v>
                </c:pt>
                <c:pt idx="3">
                  <c:v>-25239334.787930351</c:v>
                </c:pt>
                <c:pt idx="4">
                  <c:v>6204399.913922701</c:v>
                </c:pt>
                <c:pt idx="5">
                  <c:v>31021999.569614872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4A-4A56-B6D1-5FC7ED0E2881}"/>
            </c:ext>
          </c:extLst>
        </c:ser>
        <c:ser>
          <c:idx val="3"/>
          <c:order val="2"/>
          <c:tx>
            <c:strRef>
              <c:f>'R2 Chart tables'!$K$40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tables'!$L$40:$Q$40</c:f>
              <c:numCache>
                <c:formatCode>#,##0</c:formatCode>
                <c:ptCount val="6"/>
                <c:pt idx="0">
                  <c:v>8579140.8015062772</c:v>
                </c:pt>
                <c:pt idx="1">
                  <c:v>2673578.8789907745</c:v>
                </c:pt>
                <c:pt idx="2">
                  <c:v>786464.48198252835</c:v>
                </c:pt>
                <c:pt idx="3">
                  <c:v>642443.48020660563</c:v>
                </c:pt>
                <c:pt idx="4">
                  <c:v>2263218.8874178226</c:v>
                </c:pt>
                <c:pt idx="5">
                  <c:v>11316094.437089093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4A-4A56-B6D1-5FC7ED0E2881}"/>
            </c:ext>
          </c:extLst>
        </c:ser>
        <c:ser>
          <c:idx val="2"/>
          <c:order val="3"/>
          <c:tx>
            <c:strRef>
              <c:f>'R2 Chart tables'!$K$39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tables'!$L$39:$Q$39</c:f>
              <c:numCache>
                <c:formatCode>#,##0</c:formatCode>
                <c:ptCount val="6"/>
                <c:pt idx="0">
                  <c:v>6242820.8903011251</c:v>
                </c:pt>
                <c:pt idx="1">
                  <c:v>1120445.0718851662</c:v>
                </c:pt>
                <c:pt idx="2">
                  <c:v>4284391.1723039383</c:v>
                </c:pt>
                <c:pt idx="3">
                  <c:v>1405.4086079788367</c:v>
                </c:pt>
                <c:pt idx="4">
                  <c:v>3270922.5924183</c:v>
                </c:pt>
                <c:pt idx="5">
                  <c:v>16354612.962091543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4A-4A56-B6D1-5FC7ED0E2881}"/>
            </c:ext>
          </c:extLst>
        </c:ser>
        <c:ser>
          <c:idx val="5"/>
          <c:order val="4"/>
          <c:tx>
            <c:strRef>
              <c:f>'R2 Chart tables'!$K$42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tables'!$L$42:$Q$42</c:f>
              <c:numCache>
                <c:formatCode>#,##0</c:formatCode>
                <c:ptCount val="6"/>
                <c:pt idx="0">
                  <c:v>-338288.79886824923</c:v>
                </c:pt>
                <c:pt idx="1">
                  <c:v>-413813.06100965309</c:v>
                </c:pt>
                <c:pt idx="2">
                  <c:v>212444.3609219674</c:v>
                </c:pt>
                <c:pt idx="3">
                  <c:v>-188924.26974217204</c:v>
                </c:pt>
                <c:pt idx="4">
                  <c:v>-133999.84553816641</c:v>
                </c:pt>
                <c:pt idx="5">
                  <c:v>-669999.22769083246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84A-4A56-B6D1-5FC7ED0E2881}"/>
            </c:ext>
          </c:extLst>
        </c:ser>
        <c:ser>
          <c:idx val="0"/>
          <c:order val="5"/>
          <c:tx>
            <c:strRef>
              <c:f>'R2 Chart tables'!$K$37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tables'!$L$37:$Q$37</c:f>
              <c:numCache>
                <c:formatCode>#,##0</c:formatCode>
                <c:ptCount val="6"/>
                <c:pt idx="0">
                  <c:v>-138464937.18402365</c:v>
                </c:pt>
                <c:pt idx="1">
                  <c:v>-25715467.479306318</c:v>
                </c:pt>
                <c:pt idx="2">
                  <c:v>-112749469.70471734</c:v>
                </c:pt>
                <c:pt idx="3">
                  <c:v>-35831399.270566955</c:v>
                </c:pt>
                <c:pt idx="4">
                  <c:v>-79988839.483082816</c:v>
                </c:pt>
                <c:pt idx="5">
                  <c:v>-332809646.37239742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4A-4A56-B6D1-5FC7ED0E2881}"/>
            </c:ext>
          </c:extLst>
        </c:ser>
        <c:ser>
          <c:idx val="1"/>
          <c:order val="6"/>
          <c:tx>
            <c:strRef>
              <c:f>'R2 Chart tables'!$K$38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'R2 Chart tables'!$L$35:$Q$36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tables'!$L$38:$Q$38</c:f>
              <c:numCache>
                <c:formatCode>#,##0</c:formatCode>
                <c:ptCount val="6"/>
                <c:pt idx="0">
                  <c:v>-22589879.628669944</c:v>
                </c:pt>
                <c:pt idx="1">
                  <c:v>-3708371.6782973711</c:v>
                </c:pt>
                <c:pt idx="2">
                  <c:v>-18881507.95037258</c:v>
                </c:pt>
                <c:pt idx="3">
                  <c:v>-4981394.7917427355</c:v>
                </c:pt>
                <c:pt idx="4">
                  <c:v>-8687143.2356444057</c:v>
                </c:pt>
                <c:pt idx="5">
                  <c:v>-33513043.265276469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4A-4A56-B6D1-5FC7ED0E2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03496928"/>
        <c:axId val="703497256"/>
      </c:barChart>
      <c:scatterChart>
        <c:scatterStyle val="lineMarker"/>
        <c:varyColors val="0"/>
        <c:ser>
          <c:idx val="7"/>
          <c:order val="7"/>
          <c:tx>
            <c:strRef>
              <c:f>'R2 Chart tables'!$K$44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'R2 Chart tables'!$L$36:$Q$36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xVal>
          <c:yVal>
            <c:numRef>
              <c:f>'R2 Chart tables'!$L$44:$Q$44</c:f>
              <c:numCache>
                <c:formatCode>#,##0</c:formatCode>
                <c:ptCount val="6"/>
                <c:pt idx="0">
                  <c:v>78842469.285307184</c:v>
                </c:pt>
                <c:pt idx="1">
                  <c:v>41293274.352101237</c:v>
                </c:pt>
                <c:pt idx="2">
                  <c:v>27720624.128507346</c:v>
                </c:pt>
                <c:pt idx="3">
                  <c:v>73918288.997260809</c:v>
                </c:pt>
                <c:pt idx="4">
                  <c:v>-1158818.0067716837</c:v>
                </c:pt>
                <c:pt idx="5">
                  <c:v>71263133.922105372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84A-4A56-B6D1-5FC7ED0E2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496928"/>
        <c:axId val="703497256"/>
      </c:scatterChart>
      <c:catAx>
        <c:axId val="703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7256"/>
        <c:crosses val="autoZero"/>
        <c:auto val="1"/>
        <c:lblAlgn val="ctr"/>
        <c:lblOffset val="100"/>
        <c:noMultiLvlLbl val="0"/>
      </c:catAx>
      <c:valAx>
        <c:axId val="703497256"/>
        <c:scaling>
          <c:orientation val="minMax"/>
          <c:max val="600000000"/>
          <c:min val="-4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6928"/>
        <c:crosses val="autoZero"/>
        <c:crossBetween val="between"/>
        <c:majorUnit val="100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1506552287581699"/>
          <c:y val="0.75364944444444448"/>
          <c:w val="0.86315898692810444"/>
          <c:h val="0.22518388888888885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6"/>
          <c:order val="0"/>
          <c:tx>
            <c:strRef>
              <c:f>'R2 Chart tables'!$K$54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tables'!$L$54:$Q$54</c:f>
              <c:numCache>
                <c:formatCode>#,##0</c:formatCode>
                <c:ptCount val="6"/>
                <c:pt idx="0">
                  <c:v>341946353.08349574</c:v>
                </c:pt>
                <c:pt idx="1">
                  <c:v>160631795.22971782</c:v>
                </c:pt>
                <c:pt idx="2">
                  <c:v>143062295.16783908</c:v>
                </c:pt>
                <c:pt idx="3">
                  <c:v>82307091.998711631</c:v>
                </c:pt>
                <c:pt idx="4">
                  <c:v>76507387.884523481</c:v>
                </c:pt>
                <c:pt idx="5">
                  <c:v>382536939.42261887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F7C6-4304-AD52-B48E6E7A3FCB}"/>
            </c:ext>
          </c:extLst>
        </c:ser>
        <c:ser>
          <c:idx val="4"/>
          <c:order val="1"/>
          <c:tx>
            <c:strRef>
              <c:f>'R2 Chart tables'!$K$52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tables'!$L$52:$Q$52</c:f>
              <c:numCache>
                <c:formatCode>#,##0</c:formatCode>
                <c:ptCount val="6"/>
                <c:pt idx="0">
                  <c:v>105614731.8950156</c:v>
                </c:pt>
                <c:pt idx="1">
                  <c:v>109114434.41885908</c:v>
                </c:pt>
                <c:pt idx="2">
                  <c:v>-12150259.751776801</c:v>
                </c:pt>
                <c:pt idx="3">
                  <c:v>-4942872.4787385082</c:v>
                </c:pt>
                <c:pt idx="4">
                  <c:v>25266112.726655807</c:v>
                </c:pt>
                <c:pt idx="5">
                  <c:v>126330563.63327885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7C6-4304-AD52-B48E6E7A3FCB}"/>
            </c:ext>
          </c:extLst>
        </c:ser>
        <c:ser>
          <c:idx val="3"/>
          <c:order val="2"/>
          <c:tx>
            <c:strRef>
              <c:f>'R2 Chart tables'!$K$51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tables'!$L$51:$Q$51</c:f>
              <c:numCache>
                <c:formatCode>#,##0</c:formatCode>
                <c:ptCount val="6"/>
                <c:pt idx="0">
                  <c:v>36373139.617818944</c:v>
                </c:pt>
                <c:pt idx="1">
                  <c:v>32026352.390737388</c:v>
                </c:pt>
                <c:pt idx="2">
                  <c:v>-8378126.5354952132</c:v>
                </c:pt>
                <c:pt idx="3">
                  <c:v>-4401737.4129589917</c:v>
                </c:pt>
                <c:pt idx="4">
                  <c:v>8797860.0651129726</c:v>
                </c:pt>
                <c:pt idx="5">
                  <c:v>43989300.32556504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7C6-4304-AD52-B48E6E7A3FCB}"/>
            </c:ext>
          </c:extLst>
        </c:ser>
        <c:ser>
          <c:idx val="2"/>
          <c:order val="3"/>
          <c:tx>
            <c:strRef>
              <c:f>'R2 Chart tables'!$K$50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tables'!$L$50:$Q$50</c:f>
              <c:numCache>
                <c:formatCode>#,##0</c:formatCode>
                <c:ptCount val="6"/>
                <c:pt idx="0">
                  <c:v>-32097904.857863273</c:v>
                </c:pt>
                <c:pt idx="1">
                  <c:v>-19317267.050934505</c:v>
                </c:pt>
                <c:pt idx="2">
                  <c:v>-8714083.7458972484</c:v>
                </c:pt>
                <c:pt idx="3">
                  <c:v>-6694322.1260716068</c:v>
                </c:pt>
                <c:pt idx="4">
                  <c:v>-3906421.8925516745</c:v>
                </c:pt>
                <c:pt idx="5">
                  <c:v>-19532109.462758414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7C6-4304-AD52-B48E6E7A3FCB}"/>
            </c:ext>
          </c:extLst>
        </c:ser>
        <c:ser>
          <c:idx val="5"/>
          <c:order val="4"/>
          <c:tx>
            <c:strRef>
              <c:f>'R2 Chart tables'!$K$53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tables'!$L$53:$Q$53</c:f>
              <c:numCache>
                <c:formatCode>#,##0</c:formatCode>
                <c:ptCount val="6"/>
                <c:pt idx="0">
                  <c:v>-987318.50152529089</c:v>
                </c:pt>
                <c:pt idx="1">
                  <c:v>1339617.0375485288</c:v>
                </c:pt>
                <c:pt idx="2">
                  <c:v>-1879826.9545988517</c:v>
                </c:pt>
                <c:pt idx="3">
                  <c:v>340719.76256387524</c:v>
                </c:pt>
                <c:pt idx="4">
                  <c:v>-191374.8797267139</c:v>
                </c:pt>
                <c:pt idx="5">
                  <c:v>-956874.39863357239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7C6-4304-AD52-B48E6E7A3FCB}"/>
            </c:ext>
          </c:extLst>
        </c:ser>
        <c:ser>
          <c:idx val="0"/>
          <c:order val="5"/>
          <c:tx>
            <c:strRef>
              <c:f>'R2 Chart tables'!$K$48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tables'!$L$48:$Q$48</c:f>
              <c:numCache>
                <c:formatCode>#,##0</c:formatCode>
                <c:ptCount val="6"/>
                <c:pt idx="0">
                  <c:v>-138464937.18402365</c:v>
                </c:pt>
                <c:pt idx="1">
                  <c:v>-25715467.479306318</c:v>
                </c:pt>
                <c:pt idx="2">
                  <c:v>-112749469.70471734</c:v>
                </c:pt>
                <c:pt idx="3">
                  <c:v>-35831399.270566955</c:v>
                </c:pt>
                <c:pt idx="4">
                  <c:v>-79988839.483082816</c:v>
                </c:pt>
                <c:pt idx="5">
                  <c:v>-332809646.37239742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7C6-4304-AD52-B48E6E7A3FCB}"/>
            </c:ext>
          </c:extLst>
        </c:ser>
        <c:ser>
          <c:idx val="1"/>
          <c:order val="6"/>
          <c:tx>
            <c:strRef>
              <c:f>'R2 Chart tables'!$K$49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'R2 Chart tables'!$L$46:$Q$47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tables'!$L$49:$Q$49</c:f>
              <c:numCache>
                <c:formatCode>#,##0</c:formatCode>
                <c:ptCount val="6"/>
                <c:pt idx="0">
                  <c:v>-22589879.628669944</c:v>
                </c:pt>
                <c:pt idx="1">
                  <c:v>-3708371.6782973711</c:v>
                </c:pt>
                <c:pt idx="2">
                  <c:v>-18881507.95037258</c:v>
                </c:pt>
                <c:pt idx="3">
                  <c:v>-4981394.7917427355</c:v>
                </c:pt>
                <c:pt idx="4">
                  <c:v>-8687143.2356444057</c:v>
                </c:pt>
                <c:pt idx="5">
                  <c:v>-33513043.265276469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7C6-4304-AD52-B48E6E7A3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03496928"/>
        <c:axId val="703497256"/>
      </c:barChart>
      <c:scatterChart>
        <c:scatterStyle val="lineMarker"/>
        <c:varyColors val="0"/>
        <c:ser>
          <c:idx val="7"/>
          <c:order val="7"/>
          <c:tx>
            <c:strRef>
              <c:f>'R2 Chart tables'!$K$55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'R2 Chart tables'!$L$47:$Q$47</c:f>
              <c:strCache>
                <c:ptCount val="6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1D</c:v>
                </c:pt>
                <c:pt idx="4">
                  <c:v>Option 5A</c:v>
                </c:pt>
                <c:pt idx="5">
                  <c:v>Option 5B</c:v>
                </c:pt>
              </c:strCache>
            </c:strRef>
          </c:xVal>
          <c:yVal>
            <c:numRef>
              <c:f>'R2 Chart tables'!$L$55:$Q$55</c:f>
              <c:numCache>
                <c:formatCode>#,##0</c:formatCode>
                <c:ptCount val="6"/>
                <c:pt idx="0">
                  <c:v>289794184.4242481</c:v>
                </c:pt>
                <c:pt idx="1">
                  <c:v>254371092.86832464</c:v>
                </c:pt>
                <c:pt idx="2">
                  <c:v>-19690979.475018948</c:v>
                </c:pt>
                <c:pt idx="3">
                  <c:v>25796085.681196705</c:v>
                </c:pt>
                <c:pt idx="4">
                  <c:v>17797581.185286663</c:v>
                </c:pt>
                <c:pt idx="5">
                  <c:v>166045129.88239685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F7C6-4304-AD52-B48E6E7A3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496928"/>
        <c:axId val="703497256"/>
      </c:scatterChart>
      <c:catAx>
        <c:axId val="70349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7256"/>
        <c:crosses val="autoZero"/>
        <c:auto val="1"/>
        <c:lblAlgn val="ctr"/>
        <c:lblOffset val="100"/>
        <c:noMultiLvlLbl val="0"/>
      </c:catAx>
      <c:valAx>
        <c:axId val="703497256"/>
        <c:scaling>
          <c:orientation val="minMax"/>
          <c:max val="600000000"/>
          <c:min val="-40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03496928"/>
        <c:crosses val="autoZero"/>
        <c:crossBetween val="between"/>
        <c:majorUnit val="100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10541274509803922"/>
          <c:y val="0.76010944444444439"/>
          <c:w val="0.87218104575163402"/>
          <c:h val="0.21872388888888886"/>
        </c:manualLayout>
      </c:layout>
      <c:overlay val="0"/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4A1-4111-BB1D-C4E50837E15C}"/>
              </c:ext>
            </c:extLst>
          </c:dPt>
          <c:cat>
            <c:multiLvlStrRef>
              <c:f>'R2 Chart tables'!$C$7:$H$8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tables'!$C$10:$H$10</c:f>
              <c:numCache>
                <c:formatCode>#,##0</c:formatCode>
                <c:ptCount val="6"/>
                <c:pt idx="0">
                  <c:v>220555161.02378336</c:v>
                </c:pt>
                <c:pt idx="1">
                  <c:v>201003801.52974114</c:v>
                </c:pt>
                <c:pt idx="2">
                  <c:v>-37161494.321572244</c:v>
                </c:pt>
                <c:pt idx="3">
                  <c:v>17984540.860237904</c:v>
                </c:pt>
                <c:pt idx="4">
                  <c:v>3815864.6533648157</c:v>
                </c:pt>
                <c:pt idx="5">
                  <c:v>96136547.222787485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A1-4111-BB1D-C4E50837E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84A7-498B-AA2E-E1A2EAD556D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47A-41E5-84CF-C7EC0C68593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6A-4B29-B856-EB00CEE9607B}"/>
              </c:ext>
            </c:extLst>
          </c:dPt>
          <c:cat>
            <c:multiLvlStrRef>
              <c:f>'R2 Chart tables'!$C$7:$H$8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tables'!$C$11:$H$11</c:f>
              <c:numCache>
                <c:formatCode>#,##0</c:formatCode>
                <c:ptCount val="6"/>
                <c:pt idx="0">
                  <c:v>78842469.285307124</c:v>
                </c:pt>
                <c:pt idx="1">
                  <c:v>41293274.352101244</c:v>
                </c:pt>
                <c:pt idx="2">
                  <c:v>27720624.128507264</c:v>
                </c:pt>
                <c:pt idx="3">
                  <c:v>73918288.997260779</c:v>
                </c:pt>
                <c:pt idx="4">
                  <c:v>-1158818.0067716818</c:v>
                </c:pt>
                <c:pt idx="5">
                  <c:v>71263133.922105327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7-498B-AA2E-E1A2EAD55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1-3207-42E5-9B7E-8ED30202ACC0}"/>
              </c:ext>
            </c:extLst>
          </c:dPt>
          <c:cat>
            <c:multiLvlStrRef>
              <c:f>'R2 Chart tables'!$C$7:$H$8</c:f>
              <c:multiLvlStrCache>
                <c:ptCount val="6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1D</c:v>
                  </c:pt>
                  <c:pt idx="4">
                    <c:v>Option 5A</c:v>
                  </c:pt>
                  <c:pt idx="5">
                    <c:v>Option 5B</c:v>
                  </c:pt>
                </c:lvl>
                <c:lvl>
                  <c:pt idx="0">
                    <c:v>Incremental upgrades to increase transfer capacity</c:v>
                  </c:pt>
                  <c:pt idx="4">
                    <c:v>Grid connected battery systems</c:v>
                  </c:pt>
                </c:lvl>
              </c:multiLvlStrCache>
            </c:multiLvlStrRef>
          </c:cat>
          <c:val>
            <c:numRef>
              <c:f>'R2 Chart tables'!$C$12:$H$12</c:f>
              <c:numCache>
                <c:formatCode>#,##0</c:formatCode>
                <c:ptCount val="6"/>
                <c:pt idx="0">
                  <c:v>289794184.42424792</c:v>
                </c:pt>
                <c:pt idx="1">
                  <c:v>254371092.8683247</c:v>
                </c:pt>
                <c:pt idx="2">
                  <c:v>-19690979.475018937</c:v>
                </c:pt>
                <c:pt idx="3">
                  <c:v>25796085.681196719</c:v>
                </c:pt>
                <c:pt idx="4">
                  <c:v>17797581.18528663</c:v>
                </c:pt>
                <c:pt idx="5">
                  <c:v>166045129.88239703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07-42E5-9B7E-8ED30202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031568"/>
        <c:axId val="509029272"/>
      </c:barChart>
      <c:catAx>
        <c:axId val="50903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29272"/>
        <c:crosses val="autoZero"/>
        <c:auto val="1"/>
        <c:lblAlgn val="ctr"/>
        <c:lblOffset val="100"/>
        <c:noMultiLvlLbl val="0"/>
      </c:catAx>
      <c:valAx>
        <c:axId val="509029272"/>
        <c:scaling>
          <c:orientation val="minMax"/>
          <c:max val="350000000"/>
          <c:min val="-5000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 b="0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09031568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'R2 Chart tables'!$S$80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'R2 Chart tables'!$T$75:$AS$75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tables'!$T$80:$AS$80</c:f>
              <c:numCache>
                <c:formatCode>#,##0</c:formatCode>
                <c:ptCount val="26"/>
                <c:pt idx="0">
                  <c:v>0</c:v>
                </c:pt>
                <c:pt idx="1">
                  <c:v>276.01623917886741</c:v>
                </c:pt>
                <c:pt idx="2">
                  <c:v>8326.8277025344087</c:v>
                </c:pt>
                <c:pt idx="3">
                  <c:v>142629486.44631371</c:v>
                </c:pt>
                <c:pt idx="4">
                  <c:v>128239360.91928706</c:v>
                </c:pt>
                <c:pt idx="5">
                  <c:v>127949991.99179587</c:v>
                </c:pt>
                <c:pt idx="6">
                  <c:v>129205106.0321141</c:v>
                </c:pt>
                <c:pt idx="7">
                  <c:v>132297336.74155504</c:v>
                </c:pt>
                <c:pt idx="8">
                  <c:v>135464105.83846238</c:v>
                </c:pt>
                <c:pt idx="9">
                  <c:v>266931664.2661947</c:v>
                </c:pt>
                <c:pt idx="10">
                  <c:v>304912752.44560391</c:v>
                </c:pt>
                <c:pt idx="11">
                  <c:v>304503872.55438781</c:v>
                </c:pt>
                <c:pt idx="12">
                  <c:v>332513305.32010585</c:v>
                </c:pt>
                <c:pt idx="13">
                  <c:v>215191978.44983417</c:v>
                </c:pt>
                <c:pt idx="14">
                  <c:v>271611870.83910406</c:v>
                </c:pt>
                <c:pt idx="15">
                  <c:v>357023251.81496114</c:v>
                </c:pt>
                <c:pt idx="16">
                  <c:v>381090375.30144215</c:v>
                </c:pt>
                <c:pt idx="17">
                  <c:v>266375996.61832476</c:v>
                </c:pt>
                <c:pt idx="18">
                  <c:v>262827205.7274372</c:v>
                </c:pt>
                <c:pt idx="19">
                  <c:v>261477196.66473767</c:v>
                </c:pt>
                <c:pt idx="20">
                  <c:v>294167443.75454217</c:v>
                </c:pt>
                <c:pt idx="21">
                  <c:v>269669383.00071162</c:v>
                </c:pt>
                <c:pt idx="22">
                  <c:v>289474954.87039554</c:v>
                </c:pt>
                <c:pt idx="23">
                  <c:v>295971770.66930479</c:v>
                </c:pt>
                <c:pt idx="24">
                  <c:v>284716119.97639632</c:v>
                </c:pt>
                <c:pt idx="25">
                  <c:v>274087554.63842803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D-4135-A2E0-9CC2DE20265C}"/>
            </c:ext>
          </c:extLst>
        </c:ser>
        <c:ser>
          <c:idx val="2"/>
          <c:order val="1"/>
          <c:tx>
            <c:strRef>
              <c:f>'R2 Chart tables'!$S$78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 tables'!$T$75:$AS$75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tables'!$T$78:$AS$78</c:f>
              <c:numCache>
                <c:formatCode>#,##0</c:formatCode>
                <c:ptCount val="26"/>
                <c:pt idx="0">
                  <c:v>0</c:v>
                </c:pt>
                <c:pt idx="1">
                  <c:v>-19.13547335760677</c:v>
                </c:pt>
                <c:pt idx="2">
                  <c:v>33864.709502132981</c:v>
                </c:pt>
                <c:pt idx="3">
                  <c:v>4758426.7875920543</c:v>
                </c:pt>
                <c:pt idx="4">
                  <c:v>9739231.0717289522</c:v>
                </c:pt>
                <c:pt idx="5">
                  <c:v>14816625.738945823</c:v>
                </c:pt>
                <c:pt idx="6">
                  <c:v>22014904.999021143</c:v>
                </c:pt>
                <c:pt idx="7">
                  <c:v>26994230.552720293</c:v>
                </c:pt>
                <c:pt idx="8">
                  <c:v>32596518.53094168</c:v>
                </c:pt>
                <c:pt idx="9">
                  <c:v>30111155.503376778</c:v>
                </c:pt>
                <c:pt idx="10">
                  <c:v>23947615.944741189</c:v>
                </c:pt>
                <c:pt idx="11">
                  <c:v>16908283.110054128</c:v>
                </c:pt>
                <c:pt idx="12">
                  <c:v>12406632.629977195</c:v>
                </c:pt>
                <c:pt idx="13">
                  <c:v>18137638.731220819</c:v>
                </c:pt>
                <c:pt idx="14">
                  <c:v>19069067.913061932</c:v>
                </c:pt>
                <c:pt idx="15">
                  <c:v>11061844.47531971</c:v>
                </c:pt>
                <c:pt idx="16">
                  <c:v>6358957.3954346934</c:v>
                </c:pt>
                <c:pt idx="17">
                  <c:v>13383621.555541581</c:v>
                </c:pt>
                <c:pt idx="18">
                  <c:v>18298775.895468116</c:v>
                </c:pt>
                <c:pt idx="19">
                  <c:v>20790939.58397067</c:v>
                </c:pt>
                <c:pt idx="20">
                  <c:v>24631843.343370363</c:v>
                </c:pt>
                <c:pt idx="21">
                  <c:v>32720150.327527598</c:v>
                </c:pt>
                <c:pt idx="22">
                  <c:v>36113448.346188977</c:v>
                </c:pt>
                <c:pt idx="23">
                  <c:v>34446652.184475161</c:v>
                </c:pt>
                <c:pt idx="24">
                  <c:v>47846861.930445321</c:v>
                </c:pt>
                <c:pt idx="25">
                  <c:v>60500506.638632447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D-4135-A2E0-9CC2DE20265C}"/>
            </c:ext>
          </c:extLst>
        </c:ser>
        <c:ser>
          <c:idx val="1"/>
          <c:order val="2"/>
          <c:tx>
            <c:strRef>
              <c:f>'R2 Chart tables'!$S$77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 tables'!$T$75:$AS$75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tables'!$T$77:$AS$77</c:f>
              <c:numCache>
                <c:formatCode>#,##0</c:formatCode>
                <c:ptCount val="26"/>
                <c:pt idx="0">
                  <c:v>0</c:v>
                </c:pt>
                <c:pt idx="1">
                  <c:v>8.7143599235353264</c:v>
                </c:pt>
                <c:pt idx="2">
                  <c:v>9.3998293956007775</c:v>
                </c:pt>
                <c:pt idx="3">
                  <c:v>10.084092838963057</c:v>
                </c:pt>
                <c:pt idx="4">
                  <c:v>11.411872329729569</c:v>
                </c:pt>
                <c:pt idx="5">
                  <c:v>12.28752091230947</c:v>
                </c:pt>
                <c:pt idx="6">
                  <c:v>13.135842473459988</c:v>
                </c:pt>
                <c:pt idx="7">
                  <c:v>14.051577920528969</c:v>
                </c:pt>
                <c:pt idx="8">
                  <c:v>15.391113942563551</c:v>
                </c:pt>
                <c:pt idx="9">
                  <c:v>20714221.174458306</c:v>
                </c:pt>
                <c:pt idx="10">
                  <c:v>20714223.48183031</c:v>
                </c:pt>
                <c:pt idx="11">
                  <c:v>20714223.67688049</c:v>
                </c:pt>
                <c:pt idx="12">
                  <c:v>22673289.032529995</c:v>
                </c:pt>
                <c:pt idx="13">
                  <c:v>18136403.699731879</c:v>
                </c:pt>
                <c:pt idx="14">
                  <c:v>22013005.489765886</c:v>
                </c:pt>
                <c:pt idx="15">
                  <c:v>22013005.489765886</c:v>
                </c:pt>
                <c:pt idx="16">
                  <c:v>36017702.894100592</c:v>
                </c:pt>
                <c:pt idx="17">
                  <c:v>34992260.246109717</c:v>
                </c:pt>
                <c:pt idx="18">
                  <c:v>34992260.375010803</c:v>
                </c:pt>
                <c:pt idx="19">
                  <c:v>34992260.903898306</c:v>
                </c:pt>
                <c:pt idx="20">
                  <c:v>30862785.506482888</c:v>
                </c:pt>
                <c:pt idx="21">
                  <c:v>29500314.665847182</c:v>
                </c:pt>
                <c:pt idx="22">
                  <c:v>29500315.589727253</c:v>
                </c:pt>
                <c:pt idx="23">
                  <c:v>32965381.818603903</c:v>
                </c:pt>
                <c:pt idx="24">
                  <c:v>23807357.425615221</c:v>
                </c:pt>
                <c:pt idx="25">
                  <c:v>15159553.466230251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9D-4135-A2E0-9CC2DE20265C}"/>
            </c:ext>
          </c:extLst>
        </c:ser>
        <c:ser>
          <c:idx val="0"/>
          <c:order val="3"/>
          <c:tx>
            <c:strRef>
              <c:f>'R2 Chart tables'!$S$76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 tables'!$T$75:$AS$75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tables'!$T$76:$AS$76</c:f>
              <c:numCache>
                <c:formatCode>#,##0</c:formatCode>
                <c:ptCount val="26"/>
                <c:pt idx="0">
                  <c:v>0</c:v>
                </c:pt>
                <c:pt idx="1">
                  <c:v>0.35714287439676057</c:v>
                </c:pt>
                <c:pt idx="2">
                  <c:v>-0.4095207187013456</c:v>
                </c:pt>
                <c:pt idx="3">
                  <c:v>-441205.69527557067</c:v>
                </c:pt>
                <c:pt idx="4">
                  <c:v>7600264.1857938292</c:v>
                </c:pt>
                <c:pt idx="5">
                  <c:v>11509923.004386123</c:v>
                </c:pt>
                <c:pt idx="6">
                  <c:v>11509923.735502031</c:v>
                </c:pt>
                <c:pt idx="7">
                  <c:v>11509924.46660517</c:v>
                </c:pt>
                <c:pt idx="8">
                  <c:v>11509925.199796628</c:v>
                </c:pt>
                <c:pt idx="9">
                  <c:v>9431665.2264807262</c:v>
                </c:pt>
                <c:pt idx="10">
                  <c:v>9124032.2595628984</c:v>
                </c:pt>
                <c:pt idx="11">
                  <c:v>9544205.5248558354</c:v>
                </c:pt>
                <c:pt idx="12">
                  <c:v>9436844.9864591695</c:v>
                </c:pt>
                <c:pt idx="13">
                  <c:v>9524095.3998956326</c:v>
                </c:pt>
                <c:pt idx="14">
                  <c:v>8147385.0007099165</c:v>
                </c:pt>
                <c:pt idx="15">
                  <c:v>8574081.6721049547</c:v>
                </c:pt>
                <c:pt idx="16">
                  <c:v>9447982.2264814749</c:v>
                </c:pt>
                <c:pt idx="17">
                  <c:v>9447982.9550468717</c:v>
                </c:pt>
                <c:pt idx="18">
                  <c:v>9447983.6827038359</c:v>
                </c:pt>
                <c:pt idx="19">
                  <c:v>9447969.9749574158</c:v>
                </c:pt>
                <c:pt idx="20">
                  <c:v>11937372.970656861</c:v>
                </c:pt>
                <c:pt idx="21">
                  <c:v>8607077.1103908494</c:v>
                </c:pt>
                <c:pt idx="22">
                  <c:v>7860901.1749134772</c:v>
                </c:pt>
                <c:pt idx="23">
                  <c:v>7621179.0884695444</c:v>
                </c:pt>
                <c:pt idx="24">
                  <c:v>6847939.8046539892</c:v>
                </c:pt>
                <c:pt idx="25">
                  <c:v>6117779.9521369394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9D-4135-A2E0-9CC2DE20265C}"/>
            </c:ext>
          </c:extLst>
        </c:ser>
        <c:ser>
          <c:idx val="3"/>
          <c:order val="4"/>
          <c:tx>
            <c:strRef>
              <c:f>'R2 Chart tables'!$S$79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'R2 Chart tables'!$T$75:$AS$75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tables'!$T$79:$AS$79</c:f>
              <c:numCache>
                <c:formatCode>#,##0</c:formatCode>
                <c:ptCount val="26"/>
                <c:pt idx="0">
                  <c:v>0</c:v>
                </c:pt>
                <c:pt idx="1">
                  <c:v>2.3197219339907313</c:v>
                </c:pt>
                <c:pt idx="2">
                  <c:v>4.6595213702307898</c:v>
                </c:pt>
                <c:pt idx="3">
                  <c:v>129083.26101304816</c:v>
                </c:pt>
                <c:pt idx="4">
                  <c:v>264765.48101194313</c:v>
                </c:pt>
                <c:pt idx="5">
                  <c:v>288727.89100513025</c:v>
                </c:pt>
                <c:pt idx="6">
                  <c:v>288730.27203836065</c:v>
                </c:pt>
                <c:pt idx="7">
                  <c:v>290646.1966044135</c:v>
                </c:pt>
                <c:pt idx="8">
                  <c:v>291617.72922017932</c:v>
                </c:pt>
                <c:pt idx="9">
                  <c:v>318506.04278569482</c:v>
                </c:pt>
                <c:pt idx="10">
                  <c:v>322364.6439191408</c:v>
                </c:pt>
                <c:pt idx="11">
                  <c:v>314930.96477686818</c:v>
                </c:pt>
                <c:pt idx="12">
                  <c:v>322789.75910330046</c:v>
                </c:pt>
                <c:pt idx="13">
                  <c:v>686832.50676111551</c:v>
                </c:pt>
                <c:pt idx="14">
                  <c:v>870725.592955461</c:v>
                </c:pt>
                <c:pt idx="15">
                  <c:v>1311759.3264938737</c:v>
                </c:pt>
                <c:pt idx="16">
                  <c:v>2123960.1720441086</c:v>
                </c:pt>
                <c:pt idx="17">
                  <c:v>2123960.1847538818</c:v>
                </c:pt>
                <c:pt idx="18">
                  <c:v>2106081.020120963</c:v>
                </c:pt>
                <c:pt idx="19">
                  <c:v>1987947.6218734276</c:v>
                </c:pt>
                <c:pt idx="20">
                  <c:v>3749224.1977532981</c:v>
                </c:pt>
                <c:pt idx="21">
                  <c:v>2799167.2163441107</c:v>
                </c:pt>
                <c:pt idx="22">
                  <c:v>3716570.5889437501</c:v>
                </c:pt>
                <c:pt idx="23">
                  <c:v>3810665.4024069472</c:v>
                </c:pt>
                <c:pt idx="24">
                  <c:v>3788337.4794477299</c:v>
                </c:pt>
                <c:pt idx="25">
                  <c:v>3767253.5106477137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9D-4135-A2E0-9CC2DE202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2156496"/>
        <c:axId val="732153544"/>
      </c:barChart>
      <c:catAx>
        <c:axId val="73215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3544"/>
        <c:crosses val="autoZero"/>
        <c:auto val="1"/>
        <c:lblAlgn val="ctr"/>
        <c:lblOffset val="100"/>
        <c:noMultiLvlLbl val="0"/>
      </c:catAx>
      <c:valAx>
        <c:axId val="732153544"/>
        <c:scaling>
          <c:orientation val="minMax"/>
          <c:max val="50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6496"/>
        <c:crosses val="autoZero"/>
        <c:crossBetween val="between"/>
        <c:minorUnit val="500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'R2 Chart tables'!$S$87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'R2 Chart tables'!$T$82:$AS$82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tables'!$T$87:$AS$87</c:f>
              <c:numCache>
                <c:formatCode>#,##0</c:formatCode>
                <c:ptCount val="26"/>
                <c:pt idx="0">
                  <c:v>0</c:v>
                </c:pt>
                <c:pt idx="1">
                  <c:v>23.092775101702209</c:v>
                </c:pt>
                <c:pt idx="2">
                  <c:v>4992.412757803635</c:v>
                </c:pt>
                <c:pt idx="3">
                  <c:v>197980304.89687136</c:v>
                </c:pt>
                <c:pt idx="4">
                  <c:v>177952907.73057333</c:v>
                </c:pt>
                <c:pt idx="5">
                  <c:v>155368794.98639283</c:v>
                </c:pt>
                <c:pt idx="6">
                  <c:v>144307341.45792833</c:v>
                </c:pt>
                <c:pt idx="7">
                  <c:v>153248714.02521241</c:v>
                </c:pt>
                <c:pt idx="8">
                  <c:v>172410192.40162387</c:v>
                </c:pt>
                <c:pt idx="9">
                  <c:v>186805731.82185215</c:v>
                </c:pt>
                <c:pt idx="10">
                  <c:v>203274090.22718769</c:v>
                </c:pt>
                <c:pt idx="11">
                  <c:v>171412642.99549872</c:v>
                </c:pt>
                <c:pt idx="12">
                  <c:v>152582019.67610776</c:v>
                </c:pt>
                <c:pt idx="13">
                  <c:v>178598546.40149981</c:v>
                </c:pt>
                <c:pt idx="14">
                  <c:v>164096838.45734257</c:v>
                </c:pt>
                <c:pt idx="15">
                  <c:v>207229832.08703393</c:v>
                </c:pt>
                <c:pt idx="16">
                  <c:v>253028006.35477856</c:v>
                </c:pt>
                <c:pt idx="17">
                  <c:v>254927089.24335384</c:v>
                </c:pt>
                <c:pt idx="18">
                  <c:v>230114153.89582005</c:v>
                </c:pt>
                <c:pt idx="19">
                  <c:v>222338457.62418497</c:v>
                </c:pt>
                <c:pt idx="20">
                  <c:v>224983692.23941824</c:v>
                </c:pt>
                <c:pt idx="21">
                  <c:v>229060940.5214875</c:v>
                </c:pt>
                <c:pt idx="22">
                  <c:v>227350182.46705872</c:v>
                </c:pt>
                <c:pt idx="23">
                  <c:v>227116551.28986958</c:v>
                </c:pt>
                <c:pt idx="24">
                  <c:v>246153783.77103159</c:v>
                </c:pt>
                <c:pt idx="25">
                  <c:v>264130396.12340364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9-44A0-8E53-8CA8174E2E1C}"/>
            </c:ext>
          </c:extLst>
        </c:ser>
        <c:ser>
          <c:idx val="2"/>
          <c:order val="1"/>
          <c:tx>
            <c:strRef>
              <c:f>'R2 Chart tables'!$S$85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 tables'!$T$82:$AS$82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tables'!$T$85:$AS$85</c:f>
              <c:numCache>
                <c:formatCode>#,##0</c:formatCode>
                <c:ptCount val="26"/>
                <c:pt idx="0">
                  <c:v>0</c:v>
                </c:pt>
                <c:pt idx="1">
                  <c:v>-199.88982873327674</c:v>
                </c:pt>
                <c:pt idx="2">
                  <c:v>-77718.042381419407</c:v>
                </c:pt>
                <c:pt idx="3">
                  <c:v>551852.15840962122</c:v>
                </c:pt>
                <c:pt idx="4">
                  <c:v>2260129.8830145057</c:v>
                </c:pt>
                <c:pt idx="5">
                  <c:v>2879845.3708949941</c:v>
                </c:pt>
                <c:pt idx="6">
                  <c:v>2713037.2643669005</c:v>
                </c:pt>
                <c:pt idx="7">
                  <c:v>2973188.6133753909</c:v>
                </c:pt>
                <c:pt idx="8">
                  <c:v>4494122.9037908204</c:v>
                </c:pt>
                <c:pt idx="9">
                  <c:v>6307990.2541704318</c:v>
                </c:pt>
                <c:pt idx="10">
                  <c:v>7058512.1600847337</c:v>
                </c:pt>
                <c:pt idx="11">
                  <c:v>8815038.8371957093</c:v>
                </c:pt>
                <c:pt idx="12">
                  <c:v>13182449.726011077</c:v>
                </c:pt>
                <c:pt idx="13">
                  <c:v>17389494.137864571</c:v>
                </c:pt>
                <c:pt idx="14">
                  <c:v>24225194.58654863</c:v>
                </c:pt>
                <c:pt idx="15">
                  <c:v>22854153.127822965</c:v>
                </c:pt>
                <c:pt idx="16">
                  <c:v>25306298.719787113</c:v>
                </c:pt>
                <c:pt idx="17">
                  <c:v>26060165.597617611</c:v>
                </c:pt>
                <c:pt idx="18">
                  <c:v>29360156.600447614</c:v>
                </c:pt>
                <c:pt idx="19">
                  <c:v>31672540.601082601</c:v>
                </c:pt>
                <c:pt idx="20">
                  <c:v>37100282.305433311</c:v>
                </c:pt>
                <c:pt idx="21">
                  <c:v>41394791.513878994</c:v>
                </c:pt>
                <c:pt idx="22">
                  <c:v>47419413.632635199</c:v>
                </c:pt>
                <c:pt idx="23">
                  <c:v>52894506.039732084</c:v>
                </c:pt>
                <c:pt idx="24">
                  <c:v>60156322.381062403</c:v>
                </c:pt>
                <c:pt idx="25">
                  <c:v>67013561.608003214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49-44A0-8E53-8CA8174E2E1C}"/>
            </c:ext>
          </c:extLst>
        </c:ser>
        <c:ser>
          <c:idx val="1"/>
          <c:order val="2"/>
          <c:tx>
            <c:strRef>
              <c:f>'R2 Chart tables'!$S$84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 tables'!$T$82:$AS$82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tables'!$T$84:$AS$84</c:f>
              <c:numCache>
                <c:formatCode>#,##0</c:formatCode>
                <c:ptCount val="26"/>
                <c:pt idx="0">
                  <c:v>0</c:v>
                </c:pt>
                <c:pt idx="1">
                  <c:v>0.42878648925411811</c:v>
                </c:pt>
                <c:pt idx="2">
                  <c:v>0.45522830676451542</c:v>
                </c:pt>
                <c:pt idx="3">
                  <c:v>11736049.295460308</c:v>
                </c:pt>
                <c:pt idx="4">
                  <c:v>11736049.277465545</c:v>
                </c:pt>
                <c:pt idx="5">
                  <c:v>2755835.9398778919</c:v>
                </c:pt>
                <c:pt idx="6">
                  <c:v>15673294.711131195</c:v>
                </c:pt>
                <c:pt idx="7">
                  <c:v>15673294.727160284</c:v>
                </c:pt>
                <c:pt idx="8">
                  <c:v>33657840.243960895</c:v>
                </c:pt>
                <c:pt idx="9">
                  <c:v>30882465.232007593</c:v>
                </c:pt>
                <c:pt idx="10">
                  <c:v>28352553.501852911</c:v>
                </c:pt>
                <c:pt idx="11">
                  <c:v>25902461.440218318</c:v>
                </c:pt>
                <c:pt idx="12">
                  <c:v>24312645.009570554</c:v>
                </c:pt>
                <c:pt idx="13">
                  <c:v>33463666.186933108</c:v>
                </c:pt>
                <c:pt idx="14">
                  <c:v>31763485.771412581</c:v>
                </c:pt>
                <c:pt idx="15">
                  <c:v>31763485.765999254</c:v>
                </c:pt>
                <c:pt idx="16">
                  <c:v>39098732.631779678</c:v>
                </c:pt>
                <c:pt idx="17">
                  <c:v>32423881.548393443</c:v>
                </c:pt>
                <c:pt idx="18">
                  <c:v>30634996.279279813</c:v>
                </c:pt>
                <c:pt idx="19">
                  <c:v>26814929.753518835</c:v>
                </c:pt>
                <c:pt idx="20">
                  <c:v>34166149.139381215</c:v>
                </c:pt>
                <c:pt idx="21">
                  <c:v>33262100.261255283</c:v>
                </c:pt>
                <c:pt idx="22">
                  <c:v>35078595.66035559</c:v>
                </c:pt>
                <c:pt idx="23">
                  <c:v>35078595.655202679</c:v>
                </c:pt>
                <c:pt idx="24">
                  <c:v>36013632.35699974</c:v>
                </c:pt>
                <c:pt idx="25">
                  <c:v>36896575.418186761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49-44A0-8E53-8CA8174E2E1C}"/>
            </c:ext>
          </c:extLst>
        </c:ser>
        <c:ser>
          <c:idx val="0"/>
          <c:order val="3"/>
          <c:tx>
            <c:strRef>
              <c:f>'R2 Chart tables'!$S$83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 tables'!$T$82:$AS$82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tables'!$T$83:$AS$83</c:f>
              <c:numCache>
                <c:formatCode>#,##0</c:formatCode>
                <c:ptCount val="26"/>
                <c:pt idx="0">
                  <c:v>0</c:v>
                </c:pt>
                <c:pt idx="1">
                  <c:v>3.5285317280453352E-2</c:v>
                </c:pt>
                <c:pt idx="2">
                  <c:v>6.6640132121821349E-2</c:v>
                </c:pt>
                <c:pt idx="3">
                  <c:v>-2800783.6640771967</c:v>
                </c:pt>
                <c:pt idx="4">
                  <c:v>-2248462.5789073529</c:v>
                </c:pt>
                <c:pt idx="5">
                  <c:v>2698997.3163019614</c:v>
                </c:pt>
                <c:pt idx="6">
                  <c:v>2698997.35160224</c:v>
                </c:pt>
                <c:pt idx="7">
                  <c:v>2698997.3868988492</c:v>
                </c:pt>
                <c:pt idx="8">
                  <c:v>2698997.4223086708</c:v>
                </c:pt>
                <c:pt idx="9">
                  <c:v>3005805.3763397974</c:v>
                </c:pt>
                <c:pt idx="10">
                  <c:v>1722390.8656694714</c:v>
                </c:pt>
                <c:pt idx="11">
                  <c:v>1692275.6939885959</c:v>
                </c:pt>
                <c:pt idx="12">
                  <c:v>1692275.729360576</c:v>
                </c:pt>
                <c:pt idx="13">
                  <c:v>694662.91835750977</c:v>
                </c:pt>
                <c:pt idx="14">
                  <c:v>-278800.69522727211</c:v>
                </c:pt>
                <c:pt idx="15">
                  <c:v>-453090.52236798755</c:v>
                </c:pt>
                <c:pt idx="16">
                  <c:v>-703632.51178825414</c:v>
                </c:pt>
                <c:pt idx="17">
                  <c:v>-703632.47666907567</c:v>
                </c:pt>
                <c:pt idx="18">
                  <c:v>-703632.44158318802</c:v>
                </c:pt>
                <c:pt idx="19">
                  <c:v>-718084.47616619174</c:v>
                </c:pt>
                <c:pt idx="20">
                  <c:v>6582047.5864425655</c:v>
                </c:pt>
                <c:pt idx="21">
                  <c:v>6582047.621482797</c:v>
                </c:pt>
                <c:pt idx="22">
                  <c:v>7017800.2495090971</c:v>
                </c:pt>
                <c:pt idx="23">
                  <c:v>7003158.9208394326</c:v>
                </c:pt>
                <c:pt idx="24">
                  <c:v>7299523.0691113137</c:v>
                </c:pt>
                <c:pt idx="25">
                  <c:v>7579375.9003406633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49-44A0-8E53-8CA8174E2E1C}"/>
            </c:ext>
          </c:extLst>
        </c:ser>
        <c:ser>
          <c:idx val="3"/>
          <c:order val="4"/>
          <c:tx>
            <c:strRef>
              <c:f>'R2 Chart tables'!$S$86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'R2 Chart tables'!$T$82:$AS$82</c:f>
              <c:strCache>
                <c:ptCount val="26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</c:strCache>
            </c:strRef>
          </c:cat>
          <c:val>
            <c:numRef>
              <c:f>'R2 Chart tables'!$T$86:$AS$86</c:f>
              <c:numCache>
                <c:formatCode>#,##0</c:formatCode>
                <c:ptCount val="26"/>
                <c:pt idx="0">
                  <c:v>0</c:v>
                </c:pt>
                <c:pt idx="1">
                  <c:v>0.11441857601411846</c:v>
                </c:pt>
                <c:pt idx="2">
                  <c:v>0.22486778753477904</c:v>
                </c:pt>
                <c:pt idx="3">
                  <c:v>268421.02461534558</c:v>
                </c:pt>
                <c:pt idx="4">
                  <c:v>-1056.7627090352471</c:v>
                </c:pt>
                <c:pt idx="5">
                  <c:v>-65085.761589557842</c:v>
                </c:pt>
                <c:pt idx="6">
                  <c:v>-65085.641362600334</c:v>
                </c:pt>
                <c:pt idx="7">
                  <c:v>-65085.522926104582</c:v>
                </c:pt>
                <c:pt idx="8">
                  <c:v>-65085.398325579561</c:v>
                </c:pt>
                <c:pt idx="9">
                  <c:v>-96702.28150675424</c:v>
                </c:pt>
                <c:pt idx="10">
                  <c:v>-104241.49396106962</c:v>
                </c:pt>
                <c:pt idx="11">
                  <c:v>-96134.161194179251</c:v>
                </c:pt>
                <c:pt idx="12">
                  <c:v>-78175.367860619313</c:v>
                </c:pt>
                <c:pt idx="13">
                  <c:v>-136495.88633271962</c:v>
                </c:pt>
                <c:pt idx="14">
                  <c:v>313855.14217568876</c:v>
                </c:pt>
                <c:pt idx="15">
                  <c:v>1052150.931272333</c:v>
                </c:pt>
                <c:pt idx="16">
                  <c:v>3076436.1915508099</c:v>
                </c:pt>
                <c:pt idx="17">
                  <c:v>3076436.3201804906</c:v>
                </c:pt>
                <c:pt idx="18">
                  <c:v>3076436.4518573582</c:v>
                </c:pt>
                <c:pt idx="19">
                  <c:v>3094218.68772494</c:v>
                </c:pt>
                <c:pt idx="20">
                  <c:v>5586959.1674853442</c:v>
                </c:pt>
                <c:pt idx="21">
                  <c:v>6023656.1160763483</c:v>
                </c:pt>
                <c:pt idx="22">
                  <c:v>10408242.988667898</c:v>
                </c:pt>
                <c:pt idx="23">
                  <c:v>11792357.000497831</c:v>
                </c:pt>
                <c:pt idx="24">
                  <c:v>18692774.621358275</c:v>
                </c:pt>
                <c:pt idx="25">
                  <c:v>25208749.711878054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49-44A0-8E53-8CA8174E2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2156496"/>
        <c:axId val="732153544"/>
      </c:barChart>
      <c:catAx>
        <c:axId val="73215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3544"/>
        <c:crosses val="autoZero"/>
        <c:auto val="1"/>
        <c:lblAlgn val="ctr"/>
        <c:lblOffset val="100"/>
        <c:noMultiLvlLbl val="0"/>
      </c:catAx>
      <c:valAx>
        <c:axId val="732153544"/>
        <c:scaling>
          <c:orientation val="minMax"/>
          <c:max val="500000000"/>
          <c:min val="-5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2156496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49667</xdr:colOff>
      <xdr:row>9</xdr:row>
      <xdr:rowOff>4765</xdr:rowOff>
    </xdr:from>
    <xdr:to>
      <xdr:col>7</xdr:col>
      <xdr:colOff>8788</xdr:colOff>
      <xdr:row>20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667" y="1804990"/>
          <a:ext cx="4902596" cy="3019423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12</xdr:col>
      <xdr:colOff>179763</xdr:colOff>
      <xdr:row>6</xdr:row>
      <xdr:rowOff>26987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251" t="34056" r="23117" b="36360"/>
        <a:stretch/>
      </xdr:blipFill>
      <xdr:spPr>
        <a:xfrm>
          <a:off x="7317441" y="201706"/>
          <a:ext cx="2737879" cy="103869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761983</xdr:colOff>
      <xdr:row>1</xdr:row>
      <xdr:rowOff>3169</xdr:rowOff>
    </xdr:from>
    <xdr:to>
      <xdr:col>3</xdr:col>
      <xdr:colOff>599983</xdr:colOff>
      <xdr:row>5</xdr:row>
      <xdr:rowOff>145694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B4F9D9B-8FAA-4353-BDA5-830B6FA5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83" y="202328"/>
          <a:ext cx="2124000" cy="932811"/>
        </a:xfrm>
        <a:prstGeom prst="rect">
          <a:avLst/>
        </a:prstGeom>
      </xdr:spPr>
    </xdr:pic>
    <xdr:clientData/>
  </xdr:twoCellAnchor>
  <xdr:twoCellAnchor editAs="oneCell">
    <xdr:from>
      <xdr:col>4</xdr:col>
      <xdr:colOff>192807</xdr:colOff>
      <xdr:row>1</xdr:row>
      <xdr:rowOff>0</xdr:rowOff>
    </xdr:from>
    <xdr:to>
      <xdr:col>8</xdr:col>
      <xdr:colOff>596219</xdr:colOff>
      <xdr:row>5</xdr:row>
      <xdr:rowOff>133825</xdr:rowOff>
    </xdr:to>
    <xdr:pic>
      <xdr:nvPicPr>
        <xdr:cNvPr id="10" name="Picture 9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149D6553-4870-4893-8E1D-7134D7429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8512" y="199159"/>
          <a:ext cx="2845275" cy="930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22</xdr:row>
      <xdr:rowOff>3171</xdr:rowOff>
    </xdr:from>
    <xdr:to>
      <xdr:col>9</xdr:col>
      <xdr:colOff>27174</xdr:colOff>
      <xdr:row>44</xdr:row>
      <xdr:rowOff>110671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3173</xdr:rowOff>
    </xdr:from>
    <xdr:to>
      <xdr:col>18</xdr:col>
      <xdr:colOff>24000</xdr:colOff>
      <xdr:row>44</xdr:row>
      <xdr:rowOff>110673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22</xdr:row>
      <xdr:rowOff>3173</xdr:rowOff>
    </xdr:from>
    <xdr:to>
      <xdr:col>27</xdr:col>
      <xdr:colOff>24000</xdr:colOff>
      <xdr:row>44</xdr:row>
      <xdr:rowOff>110673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0</xdr:colOff>
      <xdr:row>22</xdr:row>
      <xdr:rowOff>3173</xdr:rowOff>
    </xdr:from>
    <xdr:to>
      <xdr:col>36</xdr:col>
      <xdr:colOff>24000</xdr:colOff>
      <xdr:row>44</xdr:row>
      <xdr:rowOff>110673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4</xdr:row>
      <xdr:rowOff>3174</xdr:rowOff>
    </xdr:from>
    <xdr:to>
      <xdr:col>18</xdr:col>
      <xdr:colOff>24000</xdr:colOff>
      <xdr:row>19</xdr:row>
      <xdr:rowOff>94299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1</xdr:colOff>
      <xdr:row>4</xdr:row>
      <xdr:rowOff>3174</xdr:rowOff>
    </xdr:from>
    <xdr:to>
      <xdr:col>27</xdr:col>
      <xdr:colOff>24001</xdr:colOff>
      <xdr:row>19</xdr:row>
      <xdr:rowOff>87949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</xdr:colOff>
      <xdr:row>3</xdr:row>
      <xdr:rowOff>161924</xdr:rowOff>
    </xdr:from>
    <xdr:to>
      <xdr:col>36</xdr:col>
      <xdr:colOff>27176</xdr:colOff>
      <xdr:row>19</xdr:row>
      <xdr:rowOff>91124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47</xdr:row>
      <xdr:rowOff>3173</xdr:rowOff>
    </xdr:from>
    <xdr:to>
      <xdr:col>9</xdr:col>
      <xdr:colOff>24000</xdr:colOff>
      <xdr:row>66</xdr:row>
      <xdr:rowOff>94298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0</xdr:colOff>
      <xdr:row>47</xdr:row>
      <xdr:rowOff>0</xdr:rowOff>
    </xdr:from>
    <xdr:to>
      <xdr:col>18</xdr:col>
      <xdr:colOff>27175</xdr:colOff>
      <xdr:row>66</xdr:row>
      <xdr:rowOff>91125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47</xdr:row>
      <xdr:rowOff>3173</xdr:rowOff>
    </xdr:from>
    <xdr:to>
      <xdr:col>27</xdr:col>
      <xdr:colOff>24000</xdr:colOff>
      <xdr:row>66</xdr:row>
      <xdr:rowOff>94298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47</xdr:row>
      <xdr:rowOff>3173</xdr:rowOff>
    </xdr:from>
    <xdr:to>
      <xdr:col>36</xdr:col>
      <xdr:colOff>24000</xdr:colOff>
      <xdr:row>66</xdr:row>
      <xdr:rowOff>94298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37</xdr:col>
      <xdr:colOff>0</xdr:colOff>
      <xdr:row>4</xdr:row>
      <xdr:rowOff>0</xdr:rowOff>
    </xdr:from>
    <xdr:to>
      <xdr:col>45</xdr:col>
      <xdr:colOff>24000</xdr:colOff>
      <xdr:row>19</xdr:row>
      <xdr:rowOff>87950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4</xdr:row>
      <xdr:rowOff>0</xdr:rowOff>
    </xdr:from>
    <xdr:to>
      <xdr:col>54</xdr:col>
      <xdr:colOff>17650</xdr:colOff>
      <xdr:row>20</xdr:row>
      <xdr:rowOff>142875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23</xdr:row>
      <xdr:rowOff>0</xdr:rowOff>
    </xdr:from>
    <xdr:to>
      <xdr:col>54</xdr:col>
      <xdr:colOff>17650</xdr:colOff>
      <xdr:row>39</xdr:row>
      <xdr:rowOff>144125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0</xdr:colOff>
      <xdr:row>22</xdr:row>
      <xdr:rowOff>0</xdr:rowOff>
    </xdr:from>
    <xdr:to>
      <xdr:col>40</xdr:col>
      <xdr:colOff>594000</xdr:colOff>
      <xdr:row>37</xdr:row>
      <xdr:rowOff>84775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37</xdr:col>
      <xdr:colOff>0</xdr:colOff>
      <xdr:row>37</xdr:row>
      <xdr:rowOff>87923</xdr:rowOff>
    </xdr:from>
    <xdr:to>
      <xdr:col>40</xdr:col>
      <xdr:colOff>597175</xdr:colOff>
      <xdr:row>53</xdr:row>
      <xdr:rowOff>13948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602272</xdr:colOff>
      <xdr:row>22</xdr:row>
      <xdr:rowOff>0</xdr:rowOff>
    </xdr:from>
    <xdr:to>
      <xdr:col>44</xdr:col>
      <xdr:colOff>440622</xdr:colOff>
      <xdr:row>37</xdr:row>
      <xdr:rowOff>87950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40</xdr:col>
      <xdr:colOff>597877</xdr:colOff>
      <xdr:row>37</xdr:row>
      <xdr:rowOff>87923</xdr:rowOff>
    </xdr:from>
    <xdr:to>
      <xdr:col>44</xdr:col>
      <xdr:colOff>445752</xdr:colOff>
      <xdr:row>53</xdr:row>
      <xdr:rowOff>13948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9</xdr:col>
      <xdr:colOff>27175</xdr:colOff>
      <xdr:row>19</xdr:row>
      <xdr:rowOff>91125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52E07836-0A55-4CEE-AE9D-F29E26F17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">
      <a:dk1>
        <a:srgbClr val="425364"/>
      </a:dk1>
      <a:lt1>
        <a:sysClr val="window" lastClr="FFFFFF"/>
      </a:lt1>
      <a:dk2>
        <a:srgbClr val="002395"/>
      </a:dk2>
      <a:lt2>
        <a:srgbClr val="E0E1F1"/>
      </a:lt2>
      <a:accent1>
        <a:srgbClr val="00AB91"/>
      </a:accent1>
      <a:accent2>
        <a:srgbClr val="002395"/>
      </a:accent2>
      <a:accent3>
        <a:srgbClr val="77216F"/>
      </a:accent3>
      <a:accent4>
        <a:srgbClr val="F47721"/>
      </a:accent4>
      <a:accent5>
        <a:srgbClr val="CB1334"/>
      </a:accent5>
      <a:accent6>
        <a:srgbClr val="212F63"/>
      </a:accent6>
      <a:hlink>
        <a:srgbClr val="002395"/>
      </a:hlink>
      <a:folHlink>
        <a:srgbClr val="7721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4.9989318521683403E-2"/>
  </sheetPr>
  <dimension ref="B6:P41"/>
  <sheetViews>
    <sheetView showGridLines="0" tabSelected="1" zoomScale="110" zoomScaleNormal="110" workbookViewId="0"/>
  </sheetViews>
  <sheetFormatPr defaultRowHeight="15" x14ac:dyDescent="0.2"/>
  <cols>
    <col min="4" max="4" width="13.21875" bestFit="1" customWidth="1"/>
    <col min="8" max="8" width="1.88671875" customWidth="1"/>
    <col min="9" max="9" width="8.77734375" customWidth="1"/>
    <col min="11" max="15" width="15.44140625" customWidth="1"/>
    <col min="16" max="16" width="17.21875" customWidth="1"/>
  </cols>
  <sheetData>
    <row r="6" spans="2:16" x14ac:dyDescent="0.2">
      <c r="B6" s="4"/>
      <c r="C6" s="4"/>
      <c r="D6" s="4"/>
      <c r="E6" s="4"/>
      <c r="F6" s="4"/>
      <c r="G6" s="4"/>
      <c r="H6" s="4"/>
      <c r="I6" s="4"/>
    </row>
    <row r="7" spans="2:16" x14ac:dyDescent="0.2">
      <c r="B7" s="4"/>
      <c r="C7" s="4"/>
      <c r="D7" s="4"/>
      <c r="E7" s="4"/>
      <c r="F7" s="4"/>
      <c r="G7" s="4"/>
      <c r="H7" s="4"/>
      <c r="I7" s="4"/>
    </row>
    <row r="8" spans="2:16" ht="21.75" x14ac:dyDescent="0.3">
      <c r="B8" s="38" t="s">
        <v>97</v>
      </c>
      <c r="C8" s="4"/>
      <c r="D8" s="4"/>
      <c r="E8" s="4"/>
      <c r="F8" s="4"/>
      <c r="G8" s="4"/>
      <c r="H8" s="4"/>
      <c r="I8" s="4"/>
    </row>
    <row r="9" spans="2:16" ht="15.75" x14ac:dyDescent="0.25">
      <c r="B9" s="37"/>
      <c r="C9" s="4"/>
      <c r="D9" s="4"/>
      <c r="E9" s="4"/>
      <c r="F9" s="4"/>
      <c r="G9" s="4"/>
      <c r="H9" s="4"/>
      <c r="I9" s="4"/>
    </row>
    <row r="10" spans="2:16" ht="15.75" x14ac:dyDescent="0.2">
      <c r="I10" s="229"/>
      <c r="J10" s="229"/>
      <c r="K10" s="230"/>
      <c r="L10" s="231"/>
      <c r="M10" s="231"/>
      <c r="N10" s="231"/>
      <c r="O10" s="231"/>
      <c r="P10" s="231"/>
    </row>
    <row r="11" spans="2:16" ht="15.75" x14ac:dyDescent="0.2">
      <c r="I11" s="229"/>
      <c r="J11" s="229"/>
      <c r="K11" s="231"/>
      <c r="L11" s="231"/>
      <c r="M11" s="231"/>
      <c r="N11" s="231"/>
      <c r="O11" s="231"/>
      <c r="P11" s="231"/>
    </row>
    <row r="12" spans="2:16" ht="86.25" customHeight="1" x14ac:dyDescent="0.2">
      <c r="I12" s="232"/>
      <c r="J12" s="229"/>
      <c r="K12" s="234"/>
      <c r="L12" s="234"/>
      <c r="M12" s="234"/>
      <c r="N12" s="234"/>
      <c r="O12" s="234"/>
      <c r="P12" s="234"/>
    </row>
    <row r="13" spans="2:16" ht="15.75" x14ac:dyDescent="0.25">
      <c r="I13" s="233"/>
      <c r="J13" s="233"/>
      <c r="K13" s="231"/>
      <c r="L13" s="231"/>
      <c r="M13" s="231"/>
      <c r="N13" s="231"/>
      <c r="O13" s="231"/>
      <c r="P13" s="231"/>
    </row>
    <row r="14" spans="2:16" ht="15.75" thickBot="1" x14ac:dyDescent="0.25"/>
    <row r="15" spans="2:16" ht="15.75" x14ac:dyDescent="0.2">
      <c r="I15" s="39" t="s">
        <v>70</v>
      </c>
      <c r="J15" s="40"/>
      <c r="K15" s="40"/>
      <c r="L15" s="41"/>
    </row>
    <row r="16" spans="2:16" ht="15.75" customHeight="1" x14ac:dyDescent="0.2">
      <c r="I16" s="42" t="s">
        <v>4</v>
      </c>
      <c r="J16" s="43"/>
      <c r="K16" s="4"/>
      <c r="L16" s="44"/>
    </row>
    <row r="17" spans="9:12" x14ac:dyDescent="0.2">
      <c r="I17" s="45" t="s">
        <v>1</v>
      </c>
      <c r="J17" s="46"/>
      <c r="K17" s="4"/>
      <c r="L17" s="44"/>
    </row>
    <row r="18" spans="9:12" x14ac:dyDescent="0.2">
      <c r="I18" s="47" t="s">
        <v>0</v>
      </c>
      <c r="J18" s="48"/>
      <c r="K18" s="4"/>
      <c r="L18" s="44"/>
    </row>
    <row r="19" spans="9:12" x14ac:dyDescent="0.2">
      <c r="I19" s="49" t="s">
        <v>2</v>
      </c>
      <c r="J19" s="50"/>
      <c r="K19" s="4"/>
      <c r="L19" s="44"/>
    </row>
    <row r="20" spans="9:12" ht="15.75" thickBot="1" x14ac:dyDescent="0.25">
      <c r="I20" s="51" t="s">
        <v>3</v>
      </c>
      <c r="J20" s="52"/>
      <c r="K20" s="53"/>
      <c r="L20" s="54"/>
    </row>
    <row r="27" spans="9:12" ht="30" customHeight="1" x14ac:dyDescent="0.2"/>
    <row r="31" spans="9:12" ht="1.5" customHeight="1" x14ac:dyDescent="0.2"/>
    <row r="34" spans="11:12" ht="46.5" customHeight="1" x14ac:dyDescent="0.2"/>
    <row r="38" spans="11:12" ht="30.4" customHeight="1" x14ac:dyDescent="0.2"/>
    <row r="40" spans="11:12" x14ac:dyDescent="0.2">
      <c r="K40" s="1"/>
      <c r="L40" s="1"/>
    </row>
    <row r="41" spans="11:12" x14ac:dyDescent="0.2">
      <c r="K41" s="1"/>
      <c r="L41" s="1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/>
  </sheetPr>
  <dimension ref="A1:AD22"/>
  <sheetViews>
    <sheetView showGridLines="0" zoomScaleNormal="100" workbookViewId="0"/>
  </sheetViews>
  <sheetFormatPr defaultRowHeight="15" x14ac:dyDescent="0.2"/>
  <cols>
    <col min="1" max="1" width="9.21875" style="120"/>
    <col min="2" max="2" width="10.5546875" customWidth="1"/>
    <col min="3" max="3" width="12.109375" customWidth="1"/>
    <col min="4" max="4" width="13.88671875" customWidth="1"/>
    <col min="5" max="5" width="13.6640625" customWidth="1"/>
    <col min="6" max="6" width="13.44140625" customWidth="1"/>
    <col min="7" max="7" width="14.109375" style="16" customWidth="1"/>
    <col min="8" max="8" width="15.88671875" customWidth="1"/>
    <col min="9" max="11" width="13.33203125" customWidth="1"/>
    <col min="12" max="12" width="14.21875" customWidth="1"/>
    <col min="13" max="17" width="10.5546875" customWidth="1"/>
    <col min="18" max="18" width="17.5546875" customWidth="1"/>
    <col min="19" max="20" width="10.5546875" customWidth="1"/>
    <col min="21" max="21" width="13.109375" customWidth="1"/>
    <col min="22" max="22" width="10.5546875" customWidth="1"/>
    <col min="23" max="23" width="28.109375" customWidth="1"/>
    <col min="25" max="25" width="15.88671875" customWidth="1"/>
    <col min="26" max="26" width="12" bestFit="1" customWidth="1"/>
  </cols>
  <sheetData>
    <row r="1" spans="1:30" ht="18" x14ac:dyDescent="0.25">
      <c r="A1" s="134" t="str">
        <f ca="1">MID(CELL("filename",A2),FIND("]",CELL("filename",A2))+1,256)</f>
        <v>R1 Interface and results</v>
      </c>
    </row>
    <row r="2" spans="1:30" x14ac:dyDescent="0.2">
      <c r="A2" s="135" t="s">
        <v>82</v>
      </c>
    </row>
    <row r="3" spans="1:30" x14ac:dyDescent="0.2">
      <c r="F3" s="16"/>
    </row>
    <row r="4" spans="1:30" ht="21" x14ac:dyDescent="0.35">
      <c r="B4" s="6" t="s">
        <v>71</v>
      </c>
      <c r="C4" s="6"/>
      <c r="D4" s="6"/>
      <c r="E4" s="6"/>
      <c r="F4" s="6"/>
      <c r="G4" s="21"/>
      <c r="H4" s="21"/>
      <c r="I4" s="21"/>
      <c r="J4" s="21"/>
      <c r="K4" s="21"/>
      <c r="L4" s="21"/>
    </row>
    <row r="5" spans="1:30" x14ac:dyDescent="0.2">
      <c r="H5" s="16"/>
    </row>
    <row r="6" spans="1:30" s="138" customFormat="1" ht="47.25" x14ac:dyDescent="0.2">
      <c r="A6" s="136"/>
      <c r="B6" s="137" t="s">
        <v>83</v>
      </c>
      <c r="C6" s="137"/>
      <c r="D6" s="137"/>
      <c r="G6" s="139"/>
      <c r="H6" s="140" t="s">
        <v>84</v>
      </c>
      <c r="I6" s="140" t="s">
        <v>115</v>
      </c>
      <c r="J6" s="140" t="s">
        <v>116</v>
      </c>
      <c r="K6" s="140" t="s">
        <v>99</v>
      </c>
      <c r="L6" s="140" t="s">
        <v>100</v>
      </c>
    </row>
    <row r="7" spans="1:30" ht="15.75" x14ac:dyDescent="0.25">
      <c r="B7" s="7" t="s">
        <v>86</v>
      </c>
      <c r="C7" s="7"/>
      <c r="D7" s="8"/>
      <c r="H7" s="7"/>
      <c r="I7" s="8" t="str">
        <f>I11</f>
        <v>Scenario 1</v>
      </c>
      <c r="J7" s="8" t="str">
        <f>J11</f>
        <v>Scenario 2</v>
      </c>
      <c r="K7" s="8" t="str">
        <f>K11</f>
        <v>Scenario 3</v>
      </c>
      <c r="L7" s="8" t="str">
        <f>L11</f>
        <v>Scenario 4</v>
      </c>
      <c r="M7" s="132"/>
    </row>
    <row r="8" spans="1:30" x14ac:dyDescent="0.2">
      <c r="B8" s="2" t="s">
        <v>45</v>
      </c>
      <c r="C8" s="2"/>
      <c r="D8" s="117" t="s">
        <v>87</v>
      </c>
      <c r="H8" s="2" t="s">
        <v>85</v>
      </c>
      <c r="I8" s="126">
        <f>1/4</f>
        <v>0.25</v>
      </c>
      <c r="J8" s="126">
        <f>I8</f>
        <v>0.25</v>
      </c>
      <c r="K8" s="126">
        <f t="shared" ref="K8:L8" si="0">J8</f>
        <v>0.25</v>
      </c>
      <c r="L8" s="126">
        <f t="shared" si="0"/>
        <v>0.25</v>
      </c>
    </row>
    <row r="9" spans="1:30" x14ac:dyDescent="0.2">
      <c r="H9" s="16"/>
    </row>
    <row r="10" spans="1:30" s="138" customFormat="1" ht="47.25" x14ac:dyDescent="0.2">
      <c r="A10" s="148"/>
      <c r="B10" s="141" t="s">
        <v>101</v>
      </c>
      <c r="C10" s="141"/>
      <c r="D10" s="141"/>
      <c r="E10" s="141"/>
      <c r="F10" s="141"/>
      <c r="G10" s="141"/>
      <c r="H10" s="141"/>
      <c r="I10" s="140" t="s">
        <v>115</v>
      </c>
      <c r="J10" s="140" t="s">
        <v>116</v>
      </c>
      <c r="K10" s="140" t="s">
        <v>99</v>
      </c>
      <c r="L10" s="140" t="s">
        <v>100</v>
      </c>
    </row>
    <row r="11" spans="1:30" ht="15.75" x14ac:dyDescent="0.25">
      <c r="A11" s="105"/>
      <c r="B11" s="7" t="s">
        <v>50</v>
      </c>
      <c r="C11" s="7"/>
      <c r="D11" s="7"/>
      <c r="E11" s="7"/>
      <c r="F11" s="8" t="s">
        <v>7</v>
      </c>
      <c r="G11" s="14" t="s">
        <v>8</v>
      </c>
      <c r="H11" s="8" t="s">
        <v>79</v>
      </c>
      <c r="I11" s="8" t="s">
        <v>87</v>
      </c>
      <c r="J11" s="8" t="s">
        <v>88</v>
      </c>
      <c r="K11" s="8" t="s">
        <v>89</v>
      </c>
      <c r="L11" s="8" t="s">
        <v>98</v>
      </c>
      <c r="M11" s="132"/>
    </row>
    <row r="12" spans="1:30" ht="15.75" x14ac:dyDescent="0.25">
      <c r="A12" s="148" t="s">
        <v>68</v>
      </c>
      <c r="B12" s="2" t="str">
        <f>+'I1 General Inputs'!B26</f>
        <v>Commercial discount rate</v>
      </c>
      <c r="C12" s="2"/>
      <c r="D12" s="2"/>
      <c r="E12" s="2"/>
      <c r="F12" s="13" t="s">
        <v>61</v>
      </c>
      <c r="G12" s="22">
        <f>'I1 General Inputs'!A26</f>
        <v>5.8999999999999997E-2</v>
      </c>
      <c r="H12" s="121" t="str">
        <f t="shared" ref="H12:H14" si="1">INDEX($I12:$L12,1,MATCH($D$8,$I$11:$L$11,0))</f>
        <v>Base</v>
      </c>
      <c r="I12" s="59" t="s">
        <v>68</v>
      </c>
      <c r="J12" s="59" t="s">
        <v>68</v>
      </c>
      <c r="K12" s="59" t="s">
        <v>68</v>
      </c>
      <c r="L12" s="59" t="s">
        <v>68</v>
      </c>
      <c r="M12" s="119"/>
      <c r="Q12" s="96"/>
    </row>
    <row r="13" spans="1:30" x14ac:dyDescent="0.2">
      <c r="A13" s="105" t="s">
        <v>39</v>
      </c>
      <c r="B13" s="2" t="str">
        <f>+'I2 CBA Inputs'!B8</f>
        <v>Capital cost</v>
      </c>
      <c r="C13" s="2"/>
      <c r="D13" s="2"/>
      <c r="E13" s="2"/>
      <c r="F13" s="13" t="s">
        <v>61</v>
      </c>
      <c r="G13" s="29">
        <f>'I2 CBA Inputs'!A8</f>
        <v>1</v>
      </c>
      <c r="H13" s="121" t="str">
        <f t="shared" si="1"/>
        <v>Base</v>
      </c>
      <c r="I13" s="59" t="s">
        <v>68</v>
      </c>
      <c r="J13" s="59" t="s">
        <v>68</v>
      </c>
      <c r="K13" s="59" t="s">
        <v>68</v>
      </c>
      <c r="L13" s="59" t="s">
        <v>68</v>
      </c>
      <c r="M13" s="119"/>
    </row>
    <row r="14" spans="1:30" x14ac:dyDescent="0.2">
      <c r="A14" s="105" t="s">
        <v>40</v>
      </c>
      <c r="B14" s="2" t="str">
        <f>+'I2 CBA Inputs'!B9</f>
        <v>Operating and maintenance cost</v>
      </c>
      <c r="C14" s="2"/>
      <c r="D14" s="2"/>
      <c r="E14" s="2"/>
      <c r="F14" s="13" t="s">
        <v>61</v>
      </c>
      <c r="G14" s="29">
        <f>'I2 CBA Inputs'!A9</f>
        <v>1</v>
      </c>
      <c r="H14" s="121" t="str">
        <f t="shared" si="1"/>
        <v>Base</v>
      </c>
      <c r="I14" s="59" t="s">
        <v>68</v>
      </c>
      <c r="J14" s="59" t="s">
        <v>68</v>
      </c>
      <c r="K14" s="59" t="s">
        <v>68</v>
      </c>
      <c r="L14" s="59" t="s">
        <v>68</v>
      </c>
      <c r="M14" s="119"/>
    </row>
    <row r="15" spans="1:30" ht="15.75" collapsed="1" x14ac:dyDescent="0.25">
      <c r="H15" s="1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</row>
    <row r="16" spans="1:30" x14ac:dyDescent="0.2">
      <c r="B16" s="122"/>
      <c r="C16" s="122"/>
      <c r="D16" s="122"/>
      <c r="E16" s="122"/>
      <c r="F16" s="123"/>
      <c r="G16" s="123"/>
      <c r="H16" s="123"/>
    </row>
    <row r="17" spans="2:8" x14ac:dyDescent="0.2">
      <c r="B17" s="122"/>
      <c r="C17" s="122"/>
      <c r="D17" s="122"/>
      <c r="E17" s="122"/>
      <c r="F17" s="123"/>
      <c r="G17" s="123"/>
      <c r="H17" s="123"/>
    </row>
    <row r="18" spans="2:8" x14ac:dyDescent="0.2">
      <c r="B18" s="122"/>
      <c r="C18" s="122"/>
      <c r="D18" s="122"/>
      <c r="E18" s="122"/>
      <c r="F18" s="123"/>
      <c r="G18" s="123"/>
      <c r="H18" s="123"/>
    </row>
    <row r="19" spans="2:8" x14ac:dyDescent="0.2">
      <c r="B19" s="122"/>
      <c r="C19" s="122"/>
      <c r="D19" s="122"/>
      <c r="E19" s="122"/>
      <c r="F19" s="123"/>
      <c r="G19" s="123"/>
      <c r="H19" s="123"/>
    </row>
    <row r="20" spans="2:8" x14ac:dyDescent="0.2">
      <c r="B20" s="122"/>
      <c r="C20" s="122"/>
      <c r="D20" s="122"/>
      <c r="E20" s="122"/>
      <c r="F20" s="123"/>
      <c r="G20" s="123"/>
      <c r="H20" s="123"/>
    </row>
    <row r="21" spans="2:8" x14ac:dyDescent="0.2">
      <c r="B21" s="122"/>
      <c r="C21" s="122"/>
      <c r="D21" s="122"/>
      <c r="E21" s="122"/>
      <c r="F21" s="123"/>
      <c r="G21" s="123"/>
      <c r="H21" s="123"/>
    </row>
    <row r="22" spans="2:8" x14ac:dyDescent="0.2">
      <c r="B22" s="122"/>
      <c r="C22" s="122"/>
      <c r="D22" s="122"/>
      <c r="E22" s="122"/>
      <c r="F22" s="123"/>
      <c r="G22" s="123"/>
      <c r="H22" s="123"/>
    </row>
  </sheetData>
  <dataValidations count="2">
    <dataValidation type="list" allowBlank="1" showInputMessage="1" showErrorMessage="1" sqref="D8">
      <formula1>$I$11:$L$11</formula1>
    </dataValidation>
    <dataValidation type="list" allowBlank="1" showInputMessage="1" showErrorMessage="1" sqref="F16:H22 I12:L14">
      <formula1>$A$12:$A$14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A2:CA103"/>
  <sheetViews>
    <sheetView showGridLines="0" zoomScaleNormal="100" workbookViewId="0"/>
  </sheetViews>
  <sheetFormatPr defaultColWidth="9.21875" defaultRowHeight="12.75" x14ac:dyDescent="0.2"/>
  <cols>
    <col min="1" max="1" width="9.21875" style="156"/>
    <col min="2" max="2" width="18.6640625" style="156" customWidth="1"/>
    <col min="3" max="3" width="12.88671875" style="156" bestFit="1" customWidth="1"/>
    <col min="4" max="4" width="12.33203125" style="156" bestFit="1" customWidth="1"/>
    <col min="5" max="6" width="11.33203125" style="156" bestFit="1" customWidth="1"/>
    <col min="7" max="7" width="9.77734375" style="156" bestFit="1" customWidth="1"/>
    <col min="8" max="8" width="10.6640625" style="156" bestFit="1" customWidth="1"/>
    <col min="9" max="9" width="10.33203125" style="212" customWidth="1"/>
    <col min="10" max="10" width="10" style="156" bestFit="1" customWidth="1"/>
    <col min="11" max="11" width="35.33203125" style="156" bestFit="1" customWidth="1"/>
    <col min="12" max="17" width="12.6640625" style="167" customWidth="1"/>
    <col min="18" max="18" width="9.21875" style="156"/>
    <col min="19" max="19" width="23" style="156" customWidth="1"/>
    <col min="20" max="31" width="9.33203125" style="156" bestFit="1" customWidth="1"/>
    <col min="32" max="32" width="9.77734375" style="156" bestFit="1" customWidth="1"/>
    <col min="33" max="35" width="9.33203125" style="156" bestFit="1" customWidth="1"/>
    <col min="36" max="37" width="9.77734375" style="156" bestFit="1" customWidth="1"/>
    <col min="38" max="44" width="9.33203125" style="156" bestFit="1" customWidth="1"/>
    <col min="45" max="45" width="10.5546875" style="156" bestFit="1" customWidth="1"/>
    <col min="46" max="46" width="10.5546875" style="173" customWidth="1"/>
    <col min="47" max="47" width="25.33203125" style="156" bestFit="1" customWidth="1"/>
    <col min="48" max="48" width="9.33203125" style="156" bestFit="1" customWidth="1"/>
    <col min="49" max="49" width="11.33203125" style="156" customWidth="1"/>
    <col min="50" max="50" width="13.88671875" style="156" bestFit="1" customWidth="1"/>
    <col min="51" max="51" width="14.109375" style="156" bestFit="1" customWidth="1"/>
    <col min="52" max="52" width="13.6640625" style="156" bestFit="1" customWidth="1"/>
    <col min="53" max="53" width="13" style="156" bestFit="1" customWidth="1"/>
    <col min="54" max="54" width="13.88671875" style="156" bestFit="1" customWidth="1"/>
    <col min="55" max="55" width="13.6640625" style="156" bestFit="1" customWidth="1"/>
    <col min="56" max="57" width="14.109375" style="156" bestFit="1" customWidth="1"/>
    <col min="58" max="58" width="13.6640625" style="156" bestFit="1" customWidth="1"/>
    <col min="59" max="59" width="13.33203125" style="156" bestFit="1" customWidth="1"/>
    <col min="60" max="61" width="13.6640625" style="156" bestFit="1" customWidth="1"/>
    <col min="62" max="66" width="14.109375" style="156" bestFit="1" customWidth="1"/>
    <col min="67" max="67" width="13.6640625" style="156" bestFit="1" customWidth="1"/>
    <col min="68" max="68" width="14.5546875" style="156" bestFit="1" customWidth="1"/>
    <col min="69" max="70" width="14.109375" style="156" bestFit="1" customWidth="1"/>
    <col min="71" max="71" width="13.6640625" style="156" bestFit="1" customWidth="1"/>
    <col min="72" max="72" width="14.5546875" style="156" bestFit="1" customWidth="1"/>
    <col min="73" max="73" width="9.21875" style="156"/>
    <col min="74" max="74" width="29.6640625" style="156" customWidth="1"/>
    <col min="75" max="78" width="9.33203125" style="156" customWidth="1"/>
    <col min="79" max="16384" width="9.21875" style="156"/>
  </cols>
  <sheetData>
    <row r="2" spans="1:79" x14ac:dyDescent="0.2">
      <c r="B2" s="158" t="s">
        <v>117</v>
      </c>
      <c r="C2" s="158"/>
      <c r="D2" s="158"/>
      <c r="E2" s="158"/>
      <c r="F2" s="158"/>
      <c r="G2" s="158"/>
      <c r="H2" s="158"/>
      <c r="I2" s="211"/>
      <c r="K2" s="158" t="s">
        <v>130</v>
      </c>
      <c r="L2" s="168"/>
      <c r="M2" s="168"/>
      <c r="N2" s="168"/>
      <c r="O2" s="168"/>
      <c r="P2" s="168"/>
      <c r="Q2" s="168"/>
      <c r="S2" s="158" t="s">
        <v>121</v>
      </c>
      <c r="T2" s="158"/>
      <c r="U2" s="158" t="str">
        <f>C4</f>
        <v>Option 1A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74"/>
      <c r="AU2" s="158" t="s">
        <v>195</v>
      </c>
      <c r="AV2" s="158"/>
      <c r="AW2" s="158"/>
      <c r="AX2" s="174"/>
      <c r="AY2" s="174"/>
      <c r="AZ2" s="174"/>
      <c r="BA2" s="174"/>
      <c r="BB2" s="174"/>
      <c r="BC2" s="174"/>
      <c r="BD2" s="174"/>
      <c r="BE2" s="174"/>
      <c r="BF2" s="174"/>
      <c r="BG2" s="174"/>
      <c r="BH2" s="174"/>
      <c r="BI2" s="174"/>
      <c r="BJ2" s="174"/>
      <c r="BK2" s="174"/>
      <c r="BL2" s="174"/>
      <c r="BM2" s="174"/>
      <c r="BN2" s="174"/>
      <c r="BO2" s="174"/>
      <c r="BP2" s="174"/>
      <c r="BQ2" s="174"/>
      <c r="BR2" s="174"/>
      <c r="BS2" s="174"/>
      <c r="BT2" s="174"/>
      <c r="BU2" s="174"/>
      <c r="BV2" s="174"/>
      <c r="BW2" s="174"/>
      <c r="BX2" s="174"/>
      <c r="BY2" s="174"/>
      <c r="BZ2" s="174"/>
      <c r="CA2" s="174"/>
    </row>
    <row r="3" spans="1:79" x14ac:dyDescent="0.2"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</row>
    <row r="4" spans="1:79" x14ac:dyDescent="0.2">
      <c r="B4" s="159" t="s">
        <v>118</v>
      </c>
      <c r="C4" s="162" t="s">
        <v>122</v>
      </c>
      <c r="D4" s="162" t="s">
        <v>123</v>
      </c>
      <c r="E4" s="162" t="s">
        <v>124</v>
      </c>
      <c r="F4" s="162" t="s">
        <v>94</v>
      </c>
      <c r="G4" s="162" t="s">
        <v>125</v>
      </c>
      <c r="H4" s="162" t="s">
        <v>126</v>
      </c>
      <c r="I4" s="181"/>
      <c r="K4" s="159" t="s">
        <v>118</v>
      </c>
      <c r="L4" s="162" t="str">
        <f>$C$4</f>
        <v>Option 1A</v>
      </c>
      <c r="M4" s="162" t="str">
        <f>$D$4</f>
        <v>Option 1B</v>
      </c>
      <c r="N4" s="162" t="str">
        <f>$E$4</f>
        <v>Option 1C</v>
      </c>
      <c r="O4" s="162" t="str">
        <f>$F$4</f>
        <v>Option 1D</v>
      </c>
      <c r="P4" s="162" t="str">
        <f>$G$4</f>
        <v>Option 5A</v>
      </c>
      <c r="Q4" s="162" t="str">
        <f>$H$4</f>
        <v>Option 5B</v>
      </c>
      <c r="S4" s="159" t="s">
        <v>118</v>
      </c>
      <c r="T4" s="162" t="s">
        <v>163</v>
      </c>
      <c r="U4" s="162" t="s">
        <v>164</v>
      </c>
      <c r="V4" s="162" t="s">
        <v>165</v>
      </c>
      <c r="W4" s="162" t="s">
        <v>166</v>
      </c>
      <c r="X4" s="162" t="s">
        <v>167</v>
      </c>
      <c r="Y4" s="162" t="s">
        <v>168</v>
      </c>
      <c r="Z4" s="162" t="s">
        <v>169</v>
      </c>
      <c r="AA4" s="162" t="s">
        <v>170</v>
      </c>
      <c r="AB4" s="162" t="s">
        <v>171</v>
      </c>
      <c r="AC4" s="162" t="s">
        <v>172</v>
      </c>
      <c r="AD4" s="162" t="s">
        <v>173</v>
      </c>
      <c r="AE4" s="162" t="s">
        <v>174</v>
      </c>
      <c r="AF4" s="162" t="s">
        <v>175</v>
      </c>
      <c r="AG4" s="162" t="s">
        <v>176</v>
      </c>
      <c r="AH4" s="162" t="s">
        <v>177</v>
      </c>
      <c r="AI4" s="162" t="s">
        <v>178</v>
      </c>
      <c r="AJ4" s="162" t="s">
        <v>179</v>
      </c>
      <c r="AK4" s="162" t="s">
        <v>180</v>
      </c>
      <c r="AL4" s="162" t="s">
        <v>181</v>
      </c>
      <c r="AM4" s="162" t="s">
        <v>182</v>
      </c>
      <c r="AN4" s="162" t="s">
        <v>183</v>
      </c>
      <c r="AO4" s="162" t="s">
        <v>184</v>
      </c>
      <c r="AP4" s="162" t="s">
        <v>185</v>
      </c>
      <c r="AQ4" s="162" t="s">
        <v>186</v>
      </c>
      <c r="AR4" s="162" t="s">
        <v>187</v>
      </c>
      <c r="AS4" s="162" t="s">
        <v>188</v>
      </c>
      <c r="AT4" s="172"/>
      <c r="AU4" s="171" t="s">
        <v>148</v>
      </c>
      <c r="AV4" s="171" t="s">
        <v>54</v>
      </c>
      <c r="AW4" s="171" t="s">
        <v>8</v>
      </c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</row>
    <row r="5" spans="1:79" ht="12.6" customHeight="1" x14ac:dyDescent="0.2">
      <c r="B5" s="160" t="s">
        <v>38</v>
      </c>
      <c r="C5" s="166">
        <f t="array" ref="C5:H5">TRANSPOSE(Calculation!F8:F13)</f>
        <v>217876111.24950811</v>
      </c>
      <c r="D5" s="166">
        <v>149459233.8321102</v>
      </c>
      <c r="E5" s="166">
        <v>14771397.611105647</v>
      </c>
      <c r="F5" s="166">
        <v>54257097.620131977</v>
      </c>
      <c r="G5" s="166">
        <v>-88675982.718727261</v>
      </c>
      <c r="H5" s="166">
        <v>133128527.5081757</v>
      </c>
      <c r="I5" s="213"/>
      <c r="K5" s="160" t="s">
        <v>132</v>
      </c>
      <c r="L5" s="166">
        <f t="array" ref="L5:Q5">TRANSPOSE(Calculation!F67:F72)</f>
        <v>-138464937.18402365</v>
      </c>
      <c r="M5" s="166">
        <v>-25715467.479306318</v>
      </c>
      <c r="N5" s="166">
        <v>-112749469.70471734</v>
      </c>
      <c r="O5" s="166">
        <v>-35831399.270566955</v>
      </c>
      <c r="P5" s="166">
        <v>-79988839.483082816</v>
      </c>
      <c r="Q5" s="166">
        <v>-332809646.37239742</v>
      </c>
      <c r="S5" s="160" t="str">
        <f>$K$7</f>
        <v>Avoided unserved energy</v>
      </c>
      <c r="T5" s="161">
        <f>Calculation!G87</f>
        <v>0</v>
      </c>
      <c r="U5" s="161">
        <f>Calculation!H87</f>
        <v>0.3782143039861694</v>
      </c>
      <c r="V5" s="161">
        <f>Calculation!I87</f>
        <v>-0.85979865305125713</v>
      </c>
      <c r="W5" s="161">
        <f>Calculation!J87</f>
        <v>-523996.74243298173</v>
      </c>
      <c r="X5" s="161">
        <f>Calculation!K87</f>
        <v>10113914.550502129</v>
      </c>
      <c r="Y5" s="161">
        <f>Calculation!L87</f>
        <v>5207372.6805838048</v>
      </c>
      <c r="Z5" s="161">
        <f>Calculation!M87</f>
        <v>1.0312453264806947</v>
      </c>
      <c r="AA5" s="161">
        <f>Calculation!N87</f>
        <v>1.092069730665808</v>
      </c>
      <c r="AB5" s="161">
        <f>Calculation!O87</f>
        <v>1.1598052705711703</v>
      </c>
      <c r="AC5" s="161">
        <f>Calculation!P87</f>
        <v>-3481476.8707018383</v>
      </c>
      <c r="AD5" s="161">
        <f>Calculation!Q87</f>
        <v>-545748.40493153036</v>
      </c>
      <c r="AE5" s="161">
        <f>Calculation!R87</f>
        <v>789376.10696235672</v>
      </c>
      <c r="AF5" s="161">
        <f>Calculation!S87</f>
        <v>-213597.51807385311</v>
      </c>
      <c r="AG5" s="161">
        <f>Calculation!T87</f>
        <v>183829.40221408941</v>
      </c>
      <c r="AH5" s="161">
        <f>Calculation!U87</f>
        <v>-3071751.1846743412</v>
      </c>
      <c r="AI5" s="161">
        <f>Calculation!V87</f>
        <v>1008227.7732634931</v>
      </c>
      <c r="AJ5" s="161">
        <f>Calculation!W87</f>
        <v>2186741.1450193822</v>
      </c>
      <c r="AK5" s="161">
        <f>Calculation!X87</f>
        <v>1.9306336117611487</v>
      </c>
      <c r="AL5" s="161">
        <f>Calculation!Y87</f>
        <v>2.0419916981269726</v>
      </c>
      <c r="AM5" s="161">
        <f>Calculation!Z87</f>
        <v>-40.737024463713169</v>
      </c>
      <c r="AN5" s="161">
        <f>Calculation!AA87</f>
        <v>7834556.3756132871</v>
      </c>
      <c r="AO5" s="161">
        <f>Calculation!AB87</f>
        <v>-11099361.076401789</v>
      </c>
      <c r="AP5" s="161">
        <f>Calculation!AC87</f>
        <v>-2633615.4486927167</v>
      </c>
      <c r="AQ5" s="161">
        <f>Calculation!AD87</f>
        <v>-896014.69316844642</v>
      </c>
      <c r="AR5" s="161">
        <f>Calculation!AE87</f>
        <v>-3060673.1417039484</v>
      </c>
      <c r="AS5" s="161">
        <f>Calculation!AF87</f>
        <v>3.0380107534116121</v>
      </c>
      <c r="AT5" s="220"/>
      <c r="AU5" s="235" t="s">
        <v>142</v>
      </c>
      <c r="AV5" s="235" t="s">
        <v>122</v>
      </c>
      <c r="AW5" s="191">
        <v>133551163.94077972</v>
      </c>
      <c r="AX5" s="220"/>
      <c r="AY5" s="220"/>
      <c r="AZ5" s="220"/>
      <c r="BA5" s="220"/>
      <c r="BB5" s="220"/>
      <c r="BC5" s="220"/>
      <c r="BD5" s="220"/>
      <c r="BE5" s="220"/>
      <c r="BF5" s="220"/>
      <c r="BG5" s="220"/>
      <c r="BH5" s="220"/>
      <c r="BI5" s="220"/>
      <c r="BJ5" s="220"/>
      <c r="BK5" s="220"/>
      <c r="BL5" s="220"/>
      <c r="BM5" s="220"/>
      <c r="BN5" s="220"/>
      <c r="BO5" s="220"/>
      <c r="BP5" s="220"/>
      <c r="BQ5" s="220"/>
      <c r="BR5" s="220"/>
      <c r="BS5" s="220"/>
      <c r="BT5" s="220"/>
      <c r="BU5" s="220"/>
      <c r="BV5" s="220"/>
      <c r="BW5" s="220"/>
      <c r="BX5" s="220"/>
      <c r="BY5" s="220"/>
      <c r="BZ5" s="220"/>
      <c r="CA5" s="220"/>
    </row>
    <row r="6" spans="1:79" ht="12.6" customHeight="1" x14ac:dyDescent="0.2">
      <c r="C6" s="167"/>
      <c r="D6" s="167"/>
      <c r="E6" s="167"/>
      <c r="F6" s="167"/>
      <c r="G6" s="167"/>
      <c r="H6" s="167"/>
      <c r="I6" s="214"/>
      <c r="K6" s="160" t="s">
        <v>133</v>
      </c>
      <c r="L6" s="166">
        <f t="array" ref="L6:Q6">TRANSPOSE(Calculation!F76:F81)</f>
        <v>-22589879.628669944</v>
      </c>
      <c r="M6" s="166">
        <v>-3708371.6782973711</v>
      </c>
      <c r="N6" s="166">
        <v>-18881507.95037258</v>
      </c>
      <c r="O6" s="166">
        <v>-4981394.7917427355</v>
      </c>
      <c r="P6" s="166">
        <v>-8687143.2356444057</v>
      </c>
      <c r="Q6" s="166">
        <v>-33513043.265276469</v>
      </c>
      <c r="S6" s="160" t="str">
        <f>$K$8</f>
        <v>Avoided REZ transmission capex</v>
      </c>
      <c r="T6" s="161">
        <f>Calculation!G96</f>
        <v>0</v>
      </c>
      <c r="U6" s="161">
        <f>Calculation!H96</f>
        <v>9.2285071590239092</v>
      </c>
      <c r="V6" s="161">
        <f>Calculation!I96</f>
        <v>0.76874098900143362</v>
      </c>
      <c r="W6" s="161">
        <f>Calculation!J96</f>
        <v>0.81266436931817054</v>
      </c>
      <c r="X6" s="161">
        <f>Calculation!K96</f>
        <v>1.6699743343111113</v>
      </c>
      <c r="Y6" s="161">
        <f>Calculation!L96</f>
        <v>1.1662983186753644</v>
      </c>
      <c r="Z6" s="161">
        <f>Calculation!M96</f>
        <v>1.1965649187672762</v>
      </c>
      <c r="AA6" s="161">
        <f>Calculation!N96</f>
        <v>1.3678603040572148</v>
      </c>
      <c r="AB6" s="161">
        <f>Calculation!O96</f>
        <v>2.1189566784597815</v>
      </c>
      <c r="AC6" s="161">
        <f>Calculation!P96</f>
        <v>34700195.959896773</v>
      </c>
      <c r="AD6" s="161">
        <f>Calculation!Q96</f>
        <v>4.0933343475248352</v>
      </c>
      <c r="AE6" s="161">
        <f>Calculation!R96</f>
        <v>0.36643918918860885</v>
      </c>
      <c r="AF6" s="161">
        <f>Calculation!S96</f>
        <v>3897628.5324236155</v>
      </c>
      <c r="AG6" s="161">
        <f>Calculation!T96</f>
        <v>-9558842.0248517394</v>
      </c>
      <c r="AH6" s="161">
        <f>Calculation!U96</f>
        <v>8649572.305178225</v>
      </c>
      <c r="AI6" s="161">
        <f>Calculation!V96</f>
        <v>0</v>
      </c>
      <c r="AJ6" s="161">
        <f>Calculation!W96</f>
        <v>35043630.404209852</v>
      </c>
      <c r="AK6" s="161">
        <f>Calculation!X96</f>
        <v>-2717331.9647295671</v>
      </c>
      <c r="AL6" s="161">
        <f>Calculation!Y96</f>
        <v>0.3617294393966341</v>
      </c>
      <c r="AM6" s="161">
        <f>Calculation!Z96</f>
        <v>1.5717611493242327</v>
      </c>
      <c r="AN6" s="161">
        <f>Calculation!AA96</f>
        <v>-12996131.144153744</v>
      </c>
      <c r="AO6" s="161">
        <f>Calculation!AB96</f>
        <v>-4540904.6075192923</v>
      </c>
      <c r="AP6" s="161">
        <f>Calculation!AC96</f>
        <v>3.2608192129244742</v>
      </c>
      <c r="AQ6" s="161">
        <f>Calculation!AD96</f>
        <v>12951456.830413543</v>
      </c>
      <c r="AR6" s="161">
        <f>Calculation!AE96</f>
        <v>-36249735.207938731</v>
      </c>
      <c r="AS6" s="161">
        <f>Calculation!AF96</f>
        <v>980795.02470212243</v>
      </c>
      <c r="AT6" s="220"/>
      <c r="AU6" s="235"/>
      <c r="AV6" s="235" t="s">
        <v>123</v>
      </c>
      <c r="AW6" s="191">
        <v>138899095.19952193</v>
      </c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</row>
    <row r="7" spans="1:79" x14ac:dyDescent="0.2">
      <c r="B7" s="159"/>
      <c r="C7" s="236" t="s">
        <v>128</v>
      </c>
      <c r="D7" s="236"/>
      <c r="E7" s="236"/>
      <c r="F7" s="236"/>
      <c r="G7" s="236" t="s">
        <v>127</v>
      </c>
      <c r="H7" s="236"/>
      <c r="I7" s="215"/>
      <c r="K7" s="160" t="s">
        <v>120</v>
      </c>
      <c r="L7" s="166">
        <f t="array" ref="L7:Q7">TRANSPOSE(Calculation!F87:F92)</f>
        <v>6847940.5294074602</v>
      </c>
      <c r="M7" s="166">
        <v>-3911997.0420674719</v>
      </c>
      <c r="N7" s="166">
        <v>21794814.557855465</v>
      </c>
      <c r="O7" s="166">
        <v>11888680.416165991</v>
      </c>
      <c r="P7" s="166">
        <v>0</v>
      </c>
      <c r="Q7" s="166">
        <v>5330894.7894614292</v>
      </c>
      <c r="S7" s="160" t="str">
        <f>$K$9</f>
        <v>Avoided fuel costs</v>
      </c>
      <c r="T7" s="161">
        <f>Calculation!G105</f>
        <v>0</v>
      </c>
      <c r="U7" s="161">
        <f>Calculation!H105</f>
        <v>-20.264466285705566</v>
      </c>
      <c r="V7" s="161">
        <f>Calculation!I105</f>
        <v>38000.08834695816</v>
      </c>
      <c r="W7" s="161">
        <f>Calculation!J105</f>
        <v>5611118.4935283661</v>
      </c>
      <c r="X7" s="161">
        <f>Calculation!K105</f>
        <v>6264455.3380875587</v>
      </c>
      <c r="Y7" s="161">
        <f>Calculation!L105</f>
        <v>6762709.357878685</v>
      </c>
      <c r="Z7" s="161">
        <f>Calculation!M105</f>
        <v>10153235.320831299</v>
      </c>
      <c r="AA7" s="161">
        <f>Calculation!N105</f>
        <v>7437761.4055271149</v>
      </c>
      <c r="AB7" s="161">
        <f>Calculation!O105</f>
        <v>8862027.8445940018</v>
      </c>
      <c r="AC7" s="161">
        <f>Calculation!P105</f>
        <v>-4163451.1595578194</v>
      </c>
      <c r="AD7" s="161">
        <f>Calculation!Q105</f>
        <v>-10934269.875426769</v>
      </c>
      <c r="AE7" s="161">
        <f>Calculation!R105</f>
        <v>-13224737.525324345</v>
      </c>
      <c r="AF7" s="161">
        <f>Calculation!S105</f>
        <v>-8956189.9012446404</v>
      </c>
      <c r="AG7" s="161">
        <f>Calculation!T105</f>
        <v>12074755.685187817</v>
      </c>
      <c r="AH7" s="161">
        <f>Calculation!U105</f>
        <v>2078228.4309415817</v>
      </c>
      <c r="AI7" s="161">
        <f>Calculation!V105</f>
        <v>-18920009.45370388</v>
      </c>
      <c r="AJ7" s="161">
        <f>Calculation!W105</f>
        <v>-11767925.56826067</v>
      </c>
      <c r="AK7" s="161">
        <f>Calculation!X105</f>
        <v>18614736.281105518</v>
      </c>
      <c r="AL7" s="161">
        <f>Calculation!Y105</f>
        <v>13793181.199496746</v>
      </c>
      <c r="AM7" s="161">
        <f>Calculation!Z105</f>
        <v>7406274.5280122757</v>
      </c>
      <c r="AN7" s="161">
        <f>Calculation!AA105</f>
        <v>12087949.234538078</v>
      </c>
      <c r="AO7" s="161">
        <f>Calculation!AB105</f>
        <v>26957076.332182884</v>
      </c>
      <c r="AP7" s="161">
        <f>Calculation!AC105</f>
        <v>11976588.441233635</v>
      </c>
      <c r="AQ7" s="161">
        <f>Calculation!AD105</f>
        <v>-6230021.9123182297</v>
      </c>
      <c r="AR7" s="161">
        <f>Calculation!AE105</f>
        <v>53041358.50458622</v>
      </c>
      <c r="AS7" s="161">
        <f>Calculation!AF105</f>
        <v>44490866.67875433</v>
      </c>
      <c r="AT7" s="220"/>
      <c r="AU7" s="235"/>
      <c r="AV7" s="235" t="s">
        <v>124</v>
      </c>
      <c r="AW7" s="191">
        <v>-48443998.949802876</v>
      </c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</row>
    <row r="8" spans="1:79" ht="25.5" x14ac:dyDescent="0.2">
      <c r="A8" s="157"/>
      <c r="B8" s="159" t="s">
        <v>45</v>
      </c>
      <c r="C8" s="162" t="str">
        <f>$C$4</f>
        <v>Option 1A</v>
      </c>
      <c r="D8" s="162" t="str">
        <f>$D$4</f>
        <v>Option 1B</v>
      </c>
      <c r="E8" s="162" t="str">
        <f>$E$4</f>
        <v>Option 1C</v>
      </c>
      <c r="F8" s="162" t="str">
        <f>$F$4</f>
        <v>Option 1D</v>
      </c>
      <c r="G8" s="162" t="str">
        <f>$G$4</f>
        <v>Option 5A</v>
      </c>
      <c r="H8" s="162" t="str">
        <f>$H$4</f>
        <v>Option 5B</v>
      </c>
      <c r="I8" s="181" t="s">
        <v>137</v>
      </c>
      <c r="K8" s="160" t="s">
        <v>129</v>
      </c>
      <c r="L8" s="166">
        <f t="array" ref="L8:Q8">TRANSPOSE(Calculation!F96:F101)</f>
        <v>24041337.702969268</v>
      </c>
      <c r="M8" s="166">
        <v>18370986.638124477</v>
      </c>
      <c r="N8" s="166">
        <v>-1358871.145994066</v>
      </c>
      <c r="O8" s="166">
        <v>-962047.9847714192</v>
      </c>
      <c r="P8" s="166">
        <v>0</v>
      </c>
      <c r="Q8" s="166">
        <v>28112064.214378189</v>
      </c>
      <c r="S8" s="160" t="str">
        <f>$K$10</f>
        <v>Avoided voluntary load curtailment</v>
      </c>
      <c r="T8" s="161">
        <f>Calculation!G114</f>
        <v>0</v>
      </c>
      <c r="U8" s="161">
        <f>Calculation!H114</f>
        <v>2.4565855280961841</v>
      </c>
      <c r="V8" s="161">
        <f>Calculation!I114</f>
        <v>2.6240406115539372</v>
      </c>
      <c r="W8" s="161">
        <f>Calculation!J114</f>
        <v>153299.99182517827</v>
      </c>
      <c r="X8" s="161">
        <f>Calculation!K114</f>
        <v>170650.19199061673</v>
      </c>
      <c r="Y8" s="161">
        <f>Calculation!L114</f>
        <v>31916.135128230788</v>
      </c>
      <c r="Z8" s="161">
        <f>Calculation!M114</f>
        <v>3.3584680201444037</v>
      </c>
      <c r="AA8" s="161">
        <f>Calculation!N114</f>
        <v>2861.8714803057828</v>
      </c>
      <c r="AB8" s="161">
        <f>Calculation!O114</f>
        <v>1536.8272974038246</v>
      </c>
      <c r="AC8" s="161">
        <f>Calculation!P114</f>
        <v>45042.989314355422</v>
      </c>
      <c r="AD8" s="161">
        <f>Calculation!Q114</f>
        <v>6845.2527534463443</v>
      </c>
      <c r="AE8" s="161">
        <f>Calculation!R114</f>
        <v>-13965.592736233259</v>
      </c>
      <c r="AF8" s="161">
        <f>Calculation!S114</f>
        <v>15635.344124084106</v>
      </c>
      <c r="AG8" s="161">
        <f>Calculation!T114</f>
        <v>767007.9492636947</v>
      </c>
      <c r="AH8" s="161">
        <f>Calculation!U114</f>
        <v>410306.92127044871</v>
      </c>
      <c r="AI8" s="161">
        <f>Calculation!V114</f>
        <v>1042104.354003381</v>
      </c>
      <c r="AJ8" s="161">
        <f>Calculation!W114</f>
        <v>2032351.39065836</v>
      </c>
      <c r="AK8" s="161">
        <f>Calculation!X114</f>
        <v>3.3679770891467342E-2</v>
      </c>
      <c r="AL8" s="161">
        <f>Calculation!Y114</f>
        <v>-50173.512451934264</v>
      </c>
      <c r="AM8" s="161">
        <f>Calculation!Z114</f>
        <v>-351071.79451521579</v>
      </c>
      <c r="AN8" s="161">
        <f>Calculation!AA114</f>
        <v>5543024.0305069368</v>
      </c>
      <c r="AO8" s="161">
        <f>Calculation!AB114</f>
        <v>-3166392.9939770028</v>
      </c>
      <c r="AP8" s="161">
        <f>Calculation!AC114</f>
        <v>3237959.8160258252</v>
      </c>
      <c r="AQ8" s="161">
        <f>Calculation!AD114</f>
        <v>351700.3237567246</v>
      </c>
      <c r="AR8" s="161">
        <f>Calculation!AE114</f>
        <v>-88379.464858658612</v>
      </c>
      <c r="AS8" s="161">
        <f>Calculation!AF114</f>
        <v>10.945157863439352</v>
      </c>
      <c r="AT8" s="220"/>
      <c r="AU8" s="235"/>
      <c r="AV8" s="235" t="s">
        <v>94</v>
      </c>
      <c r="AW8" s="191">
        <v>28241162.278639644</v>
      </c>
      <c r="AX8" s="220"/>
      <c r="AY8" s="220"/>
      <c r="AZ8" s="220"/>
      <c r="BA8" s="220"/>
      <c r="BB8" s="220"/>
      <c r="BC8" s="220"/>
      <c r="BD8" s="220"/>
      <c r="BE8" s="220"/>
      <c r="BF8" s="220"/>
      <c r="BG8" s="220"/>
      <c r="BH8" s="220"/>
      <c r="BI8" s="220"/>
      <c r="BJ8" s="220"/>
      <c r="BK8" s="220"/>
      <c r="BL8" s="220"/>
      <c r="BM8" s="220"/>
      <c r="BN8" s="220"/>
      <c r="BO8" s="220"/>
      <c r="BP8" s="220"/>
      <c r="BQ8" s="220"/>
      <c r="BR8" s="220"/>
      <c r="BS8" s="220"/>
      <c r="BT8" s="220"/>
      <c r="BU8" s="220"/>
      <c r="BV8" s="220"/>
      <c r="BW8" s="220"/>
      <c r="BX8" s="220"/>
      <c r="BY8" s="220"/>
      <c r="BZ8" s="220"/>
      <c r="CA8" s="220"/>
    </row>
    <row r="9" spans="1:79" ht="12.6" customHeight="1" x14ac:dyDescent="0.2">
      <c r="B9" s="160" t="s">
        <v>115</v>
      </c>
      <c r="C9" s="192">
        <v>217876111.24950811</v>
      </c>
      <c r="D9" s="192">
        <v>149459233.8321102</v>
      </c>
      <c r="E9" s="192">
        <v>14771397.611105647</v>
      </c>
      <c r="F9" s="192">
        <v>54257097.620131977</v>
      </c>
      <c r="G9" s="192">
        <v>11214260.71044408</v>
      </c>
      <c r="H9" s="192">
        <v>133128527.5081757</v>
      </c>
      <c r="I9" s="213" t="str">
        <f>INDEX($C$8:$H$8,,MATCH(MAX($C9:$H9),$C9:$H9,0))</f>
        <v>Option 1A</v>
      </c>
      <c r="K9" s="160" t="s">
        <v>104</v>
      </c>
      <c r="L9" s="166">
        <f t="array" ref="L9:Q9">TRANSPOSE(Calculation!F105:F110)</f>
        <v>58460685.474644393</v>
      </c>
      <c r="M9" s="166">
        <v>92445011.467158586</v>
      </c>
      <c r="N9" s="166">
        <v>-21035460.487039506</v>
      </c>
      <c r="O9" s="166">
        <v>-6287245.0419739988</v>
      </c>
      <c r="P9" s="166">
        <v>0</v>
      </c>
      <c r="Q9" s="166">
        <v>39380467.443274513</v>
      </c>
      <c r="S9" s="160" t="str">
        <f>$K$11</f>
        <v>Avoided generation/storage costs (excl. fuel costs)</v>
      </c>
      <c r="T9" s="161">
        <f>Calculation!G123</f>
        <v>0</v>
      </c>
      <c r="U9" s="161">
        <f>Calculation!H123</f>
        <v>292.30119729042053</v>
      </c>
      <c r="V9" s="161">
        <f>Calculation!I123</f>
        <v>9028.8320907354355</v>
      </c>
      <c r="W9" s="161">
        <f>Calculation!J123</f>
        <v>169383789.03214383</v>
      </c>
      <c r="X9" s="161">
        <f>Calculation!K123</f>
        <v>-18098743.401870728</v>
      </c>
      <c r="Y9" s="161">
        <f>Calculation!L123</f>
        <v>-385417.73529231548</v>
      </c>
      <c r="Z9" s="161">
        <f>Calculation!M123</f>
        <v>1770349.2383952141</v>
      </c>
      <c r="AA9" s="161">
        <f>Calculation!N123</f>
        <v>4618953.7076119184</v>
      </c>
      <c r="AB9" s="161">
        <f>Calculation!O123</f>
        <v>5009381.1712803841</v>
      </c>
      <c r="AC9" s="161">
        <f>Calculation!P123</f>
        <v>220232920.7079525</v>
      </c>
      <c r="AD9" s="161">
        <f>Calculation!Q123</f>
        <v>67379379.067046165</v>
      </c>
      <c r="AE9" s="161">
        <f>Calculation!R123</f>
        <v>-768159.33664488792</v>
      </c>
      <c r="AF9" s="161">
        <f>Calculation!S123</f>
        <v>55725738.812051773</v>
      </c>
      <c r="AG9" s="161">
        <f>Calculation!T123</f>
        <v>-247186328.82159805</v>
      </c>
      <c r="AH9" s="161">
        <f>Calculation!U123</f>
        <v>125885495.88093853</v>
      </c>
      <c r="AI9" s="161">
        <f>Calculation!V123</f>
        <v>201815791.46401024</v>
      </c>
      <c r="AJ9" s="161">
        <f>Calculation!W123</f>
        <v>60222606.45857811</v>
      </c>
      <c r="AK9" s="161">
        <f>Calculation!X123</f>
        <v>-303982917.64094973</v>
      </c>
      <c r="AL9" s="161">
        <f>Calculation!Y123</f>
        <v>-9958815.6163306236</v>
      </c>
      <c r="AM9" s="161">
        <f>Calculation!Z123</f>
        <v>-4011990.7772450447</v>
      </c>
      <c r="AN9" s="161">
        <f>Calculation!AA123</f>
        <v>102881527.90056467</v>
      </c>
      <c r="AO9" s="161">
        <f>Calculation!AB123</f>
        <v>-81648247.899714708</v>
      </c>
      <c r="AP9" s="161">
        <f>Calculation!AC123</f>
        <v>69903433.716102839</v>
      </c>
      <c r="AQ9" s="161">
        <f>Calculation!AD123</f>
        <v>24283296.132553458</v>
      </c>
      <c r="AR9" s="161">
        <f>Calculation!AE123</f>
        <v>-44552661.109240532</v>
      </c>
      <c r="AS9" s="161">
        <f>Calculation!AF123</f>
        <v>4512474.5637338161</v>
      </c>
      <c r="AT9" s="220"/>
      <c r="AU9" s="235"/>
      <c r="AV9" s="235" t="s">
        <v>125</v>
      </c>
      <c r="AW9" s="191">
        <v>-21643867.534196716</v>
      </c>
      <c r="AX9" s="220"/>
      <c r="AY9" s="220"/>
      <c r="AZ9" s="220"/>
      <c r="BA9" s="220"/>
      <c r="BB9" s="220"/>
      <c r="BC9" s="220"/>
      <c r="BD9" s="220"/>
      <c r="BE9" s="220"/>
      <c r="BF9" s="220"/>
      <c r="BG9" s="220"/>
      <c r="BH9" s="220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</row>
    <row r="10" spans="1:79" ht="12.6" customHeight="1" x14ac:dyDescent="0.2">
      <c r="B10" s="160" t="s">
        <v>116</v>
      </c>
      <c r="C10" s="192">
        <v>220555161.02378336</v>
      </c>
      <c r="D10" s="192">
        <v>201003801.52974114</v>
      </c>
      <c r="E10" s="192">
        <v>-37161494.321572244</v>
      </c>
      <c r="F10" s="192">
        <v>17984540.860237904</v>
      </c>
      <c r="G10" s="192">
        <v>3815864.6533648157</v>
      </c>
      <c r="H10" s="192">
        <v>96136547.222787485</v>
      </c>
      <c r="I10" s="213" t="str">
        <f t="shared" ref="I10:I13" si="0">INDEX($C$8:$H$8,,MATCH(MAX($C10:$H10),$C10:$H10,0))</f>
        <v>Option 1A</v>
      </c>
      <c r="K10" s="160" t="s">
        <v>96</v>
      </c>
      <c r="L10" s="166">
        <f t="array" ref="L10:Q10">TRANSPOSE(Calculation!F114:F119)</f>
        <v>3788340.0905448608</v>
      </c>
      <c r="M10" s="166">
        <v>-159783.0812292872</v>
      </c>
      <c r="N10" s="166">
        <v>2363645.1192489699</v>
      </c>
      <c r="O10" s="166">
        <v>1005060.8540779117</v>
      </c>
      <c r="P10" s="166">
        <v>0</v>
      </c>
      <c r="Q10" s="166">
        <v>1922833.0776816758</v>
      </c>
      <c r="AU10" s="235"/>
      <c r="AV10" s="235" t="s">
        <v>126</v>
      </c>
      <c r="AW10" s="191">
        <v>-260385.56324265897</v>
      </c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</row>
    <row r="11" spans="1:79" x14ac:dyDescent="0.2">
      <c r="B11" s="160" t="s">
        <v>99</v>
      </c>
      <c r="C11" s="192">
        <v>78842469.285307124</v>
      </c>
      <c r="D11" s="192">
        <v>41293274.352101244</v>
      </c>
      <c r="E11" s="192">
        <v>27720624.128507264</v>
      </c>
      <c r="F11" s="192">
        <v>73918288.997260779</v>
      </c>
      <c r="G11" s="192">
        <v>-1158818.0067716818</v>
      </c>
      <c r="H11" s="192">
        <v>71263133.922105327</v>
      </c>
      <c r="I11" s="213" t="str">
        <f t="shared" si="0"/>
        <v>Option 1A</v>
      </c>
      <c r="K11" s="160" t="s">
        <v>141</v>
      </c>
      <c r="L11" s="166">
        <f t="array" ref="L11:Q11">TRANSPOSE(Calculation!F123:F128)</f>
        <v>285792624.26463562</v>
      </c>
      <c r="M11" s="166">
        <v>72138855.007727504</v>
      </c>
      <c r="N11" s="166">
        <v>144638247.22212476</v>
      </c>
      <c r="O11" s="166">
        <v>89425443.438943207</v>
      </c>
      <c r="P11" s="166">
        <v>0</v>
      </c>
      <c r="Q11" s="166">
        <v>424704957.62105376</v>
      </c>
      <c r="S11" s="159" t="str">
        <f>B9</f>
        <v>Neutral</v>
      </c>
      <c r="T11" s="162" t="str">
        <f>T$4</f>
        <v>2019-20</v>
      </c>
      <c r="U11" s="162" t="str">
        <f t="shared" ref="U11:AS11" si="1">U$4</f>
        <v>2020-21</v>
      </c>
      <c r="V11" s="162" t="str">
        <f t="shared" si="1"/>
        <v>2021-22</v>
      </c>
      <c r="W11" s="162" t="str">
        <f t="shared" si="1"/>
        <v>2022-23</v>
      </c>
      <c r="X11" s="162" t="str">
        <f t="shared" si="1"/>
        <v>2023-24</v>
      </c>
      <c r="Y11" s="162" t="str">
        <f t="shared" si="1"/>
        <v>2024-25</v>
      </c>
      <c r="Z11" s="162" t="str">
        <f t="shared" si="1"/>
        <v>2025-26</v>
      </c>
      <c r="AA11" s="162" t="str">
        <f t="shared" si="1"/>
        <v>2026-27</v>
      </c>
      <c r="AB11" s="162" t="str">
        <f t="shared" si="1"/>
        <v>2027-28</v>
      </c>
      <c r="AC11" s="162" t="str">
        <f t="shared" si="1"/>
        <v>2028-29</v>
      </c>
      <c r="AD11" s="162" t="str">
        <f t="shared" si="1"/>
        <v>2029-30</v>
      </c>
      <c r="AE11" s="162" t="str">
        <f t="shared" si="1"/>
        <v>2030-31</v>
      </c>
      <c r="AF11" s="162" t="str">
        <f t="shared" si="1"/>
        <v>2031-32</v>
      </c>
      <c r="AG11" s="162" t="str">
        <f t="shared" si="1"/>
        <v>2032-33</v>
      </c>
      <c r="AH11" s="162" t="str">
        <f t="shared" si="1"/>
        <v>2033-34</v>
      </c>
      <c r="AI11" s="162" t="str">
        <f t="shared" si="1"/>
        <v>2034-35</v>
      </c>
      <c r="AJ11" s="162" t="str">
        <f t="shared" si="1"/>
        <v>2035-36</v>
      </c>
      <c r="AK11" s="162" t="str">
        <f t="shared" si="1"/>
        <v>2036-37</v>
      </c>
      <c r="AL11" s="162" t="str">
        <f t="shared" si="1"/>
        <v>2037-38</v>
      </c>
      <c r="AM11" s="162" t="str">
        <f t="shared" si="1"/>
        <v>2038-39</v>
      </c>
      <c r="AN11" s="162" t="str">
        <f t="shared" si="1"/>
        <v>2039-40</v>
      </c>
      <c r="AO11" s="162" t="str">
        <f t="shared" si="1"/>
        <v>2040-41</v>
      </c>
      <c r="AP11" s="162" t="str">
        <f t="shared" si="1"/>
        <v>2041-42</v>
      </c>
      <c r="AQ11" s="162" t="str">
        <f t="shared" si="1"/>
        <v>2042-43</v>
      </c>
      <c r="AR11" s="162" t="str">
        <f t="shared" si="1"/>
        <v>2043-44</v>
      </c>
      <c r="AS11" s="162" t="str">
        <f t="shared" si="1"/>
        <v>2044-45</v>
      </c>
      <c r="AT11" s="172"/>
      <c r="AU11" s="235" t="s">
        <v>143</v>
      </c>
      <c r="AV11" s="235" t="s">
        <v>122</v>
      </c>
      <c r="AW11" s="191">
        <v>172584370.92333224</v>
      </c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</row>
    <row r="12" spans="1:79" x14ac:dyDescent="0.2">
      <c r="B12" s="160" t="s">
        <v>100</v>
      </c>
      <c r="C12" s="193">
        <v>289794184.42424792</v>
      </c>
      <c r="D12" s="193">
        <v>254371092.8683247</v>
      </c>
      <c r="E12" s="193">
        <v>-19690979.475018937</v>
      </c>
      <c r="F12" s="193">
        <v>25796085.681196719</v>
      </c>
      <c r="G12" s="193">
        <v>17797581.18528663</v>
      </c>
      <c r="H12" s="193">
        <v>166045129.88239703</v>
      </c>
      <c r="I12" s="213" t="str">
        <f t="shared" si="0"/>
        <v>Option 1A</v>
      </c>
      <c r="S12" s="160" t="str">
        <f>$K$7</f>
        <v>Avoided unserved energy</v>
      </c>
      <c r="T12" s="192">
        <v>0</v>
      </c>
      <c r="U12" s="192">
        <v>0.3782143039861694</v>
      </c>
      <c r="V12" s="192">
        <v>-0.85979865305125713</v>
      </c>
      <c r="W12" s="192">
        <v>-523996.74243298173</v>
      </c>
      <c r="X12" s="192">
        <v>10113914.550502129</v>
      </c>
      <c r="Y12" s="192">
        <v>5207372.6805838048</v>
      </c>
      <c r="Z12" s="192">
        <v>1.0312453264806947</v>
      </c>
      <c r="AA12" s="192">
        <v>1.092069730665808</v>
      </c>
      <c r="AB12" s="192">
        <v>1.1598052705711703</v>
      </c>
      <c r="AC12" s="192">
        <v>-3481476.8707018383</v>
      </c>
      <c r="AD12" s="192">
        <v>-545748.40493153036</v>
      </c>
      <c r="AE12" s="192">
        <v>789376.10696235672</v>
      </c>
      <c r="AF12" s="192">
        <v>-213597.51807385311</v>
      </c>
      <c r="AG12" s="192">
        <v>183829.40221408941</v>
      </c>
      <c r="AH12" s="192">
        <v>-3071751.1846743412</v>
      </c>
      <c r="AI12" s="192">
        <v>1008227.7732634931</v>
      </c>
      <c r="AJ12" s="192">
        <v>2186741.1450193822</v>
      </c>
      <c r="AK12" s="192">
        <v>1.9306336117611487</v>
      </c>
      <c r="AL12" s="192">
        <v>2.0419916981269726</v>
      </c>
      <c r="AM12" s="192">
        <v>-40.737024463713169</v>
      </c>
      <c r="AN12" s="192">
        <v>7834556.3756132871</v>
      </c>
      <c r="AO12" s="192">
        <v>-11099361.076401789</v>
      </c>
      <c r="AP12" s="192">
        <v>-2633615.4486927167</v>
      </c>
      <c r="AQ12" s="192">
        <v>-896014.69316844642</v>
      </c>
      <c r="AR12" s="192">
        <v>-3060673.1417039484</v>
      </c>
      <c r="AS12" s="192">
        <v>-3060673.1417039484</v>
      </c>
      <c r="AT12" s="221"/>
      <c r="AU12" s="235"/>
      <c r="AV12" s="235" t="s">
        <v>123</v>
      </c>
      <c r="AW12" s="191">
        <v>146366898.93404797</v>
      </c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1"/>
      <c r="BN12" s="221"/>
      <c r="BO12" s="221"/>
      <c r="BP12" s="221"/>
      <c r="BQ12" s="221"/>
      <c r="BR12" s="221"/>
      <c r="BS12" s="221"/>
      <c r="BT12" s="221"/>
      <c r="BU12" s="221"/>
      <c r="BV12" s="221"/>
      <c r="BW12" s="221"/>
      <c r="BX12" s="221"/>
      <c r="BY12" s="221"/>
      <c r="BZ12" s="221"/>
      <c r="CA12" s="221"/>
    </row>
    <row r="13" spans="1:79" x14ac:dyDescent="0.2">
      <c r="B13" s="160" t="s">
        <v>119</v>
      </c>
      <c r="C13" s="166">
        <f>AVERAGE(C9:C12)</f>
        <v>201766981.49571162</v>
      </c>
      <c r="D13" s="166">
        <f t="shared" ref="D13:H13" si="2">AVERAGE(D9:D12)</f>
        <v>161531850.64556932</v>
      </c>
      <c r="E13" s="166">
        <f t="shared" si="2"/>
        <v>-3590113.0142445676</v>
      </c>
      <c r="F13" s="166">
        <f t="shared" si="2"/>
        <v>42989003.289706849</v>
      </c>
      <c r="G13" s="166">
        <f t="shared" si="2"/>
        <v>7917222.1355809607</v>
      </c>
      <c r="H13" s="166">
        <f t="shared" si="2"/>
        <v>116643334.63386637</v>
      </c>
      <c r="I13" s="213" t="str">
        <f t="shared" si="0"/>
        <v>Option 1A</v>
      </c>
      <c r="K13" s="159"/>
      <c r="L13" s="236" t="s">
        <v>128</v>
      </c>
      <c r="M13" s="236"/>
      <c r="N13" s="236"/>
      <c r="O13" s="236"/>
      <c r="P13" s="236" t="s">
        <v>127</v>
      </c>
      <c r="Q13" s="236"/>
      <c r="S13" s="160" t="str">
        <f>$K$8</f>
        <v>Avoided REZ transmission capex</v>
      </c>
      <c r="T13" s="192">
        <v>0</v>
      </c>
      <c r="U13" s="192">
        <v>9.2285071590239092</v>
      </c>
      <c r="V13" s="192">
        <v>0.76874098900143362</v>
      </c>
      <c r="W13" s="192">
        <v>0.81266436931817054</v>
      </c>
      <c r="X13" s="192">
        <v>1.6699743343111113</v>
      </c>
      <c r="Y13" s="192">
        <v>1.1662983186753644</v>
      </c>
      <c r="Z13" s="192">
        <v>1.1965649187672762</v>
      </c>
      <c r="AA13" s="192">
        <v>1.3678603040572148</v>
      </c>
      <c r="AB13" s="192">
        <v>2.1189566784597815</v>
      </c>
      <c r="AC13" s="192">
        <v>34700195.959896773</v>
      </c>
      <c r="AD13" s="192">
        <v>4.0933343475248352</v>
      </c>
      <c r="AE13" s="192">
        <v>0.36643918918860885</v>
      </c>
      <c r="AF13" s="192">
        <v>3897628.5324236155</v>
      </c>
      <c r="AG13" s="192">
        <v>-9558842.0248517394</v>
      </c>
      <c r="AH13" s="192">
        <v>8649572.305178225</v>
      </c>
      <c r="AI13" s="192">
        <v>0</v>
      </c>
      <c r="AJ13" s="192">
        <v>35043630.404209852</v>
      </c>
      <c r="AK13" s="192">
        <v>-2717331.9647295671</v>
      </c>
      <c r="AL13" s="192">
        <v>0.3617294393966341</v>
      </c>
      <c r="AM13" s="192">
        <v>1.5717611493242327</v>
      </c>
      <c r="AN13" s="192">
        <v>-12996131.144153744</v>
      </c>
      <c r="AO13" s="192">
        <v>-4540904.6075192923</v>
      </c>
      <c r="AP13" s="192">
        <v>3.2608192129244742</v>
      </c>
      <c r="AQ13" s="192">
        <v>12951456.830413543</v>
      </c>
      <c r="AR13" s="192">
        <v>-36249735.207938731</v>
      </c>
      <c r="AS13" s="192">
        <v>-36249735.207938731</v>
      </c>
      <c r="AT13" s="221"/>
      <c r="AU13" s="235"/>
      <c r="AV13" s="235" t="s">
        <v>124</v>
      </c>
      <c r="AW13" s="191">
        <v>-16878595.701776385</v>
      </c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1"/>
      <c r="BN13" s="221"/>
      <c r="BO13" s="221"/>
      <c r="BP13" s="221"/>
      <c r="BQ13" s="221"/>
      <c r="BR13" s="221"/>
      <c r="BS13" s="221"/>
      <c r="BT13" s="221"/>
      <c r="BU13" s="221"/>
      <c r="BV13" s="221"/>
      <c r="BW13" s="221"/>
      <c r="BX13" s="221"/>
      <c r="BY13" s="221"/>
      <c r="BZ13" s="221"/>
      <c r="CA13" s="221"/>
    </row>
    <row r="14" spans="1:79" x14ac:dyDescent="0.2">
      <c r="C14" s="157"/>
      <c r="D14" s="157"/>
      <c r="E14" s="157"/>
      <c r="F14" s="157"/>
      <c r="G14" s="157"/>
      <c r="H14" s="157"/>
      <c r="K14" s="159" t="s">
        <v>115</v>
      </c>
      <c r="L14" s="162" t="str">
        <f>$C$4</f>
        <v>Option 1A</v>
      </c>
      <c r="M14" s="162" t="str">
        <f>$D$4</f>
        <v>Option 1B</v>
      </c>
      <c r="N14" s="162" t="str">
        <f>$E$4</f>
        <v>Option 1C</v>
      </c>
      <c r="O14" s="162" t="str">
        <f>$F$4</f>
        <v>Option 1D</v>
      </c>
      <c r="P14" s="162" t="str">
        <f>$G$4</f>
        <v>Option 5A</v>
      </c>
      <c r="Q14" s="162" t="str">
        <f>$H$4</f>
        <v>Option 5B</v>
      </c>
      <c r="S14" s="160" t="str">
        <f>$K$9</f>
        <v>Avoided fuel costs</v>
      </c>
      <c r="T14" s="192">
        <v>0</v>
      </c>
      <c r="U14" s="192">
        <v>-20.264466285705566</v>
      </c>
      <c r="V14" s="192">
        <v>38000.08834695816</v>
      </c>
      <c r="W14" s="192">
        <v>5611118.4935283661</v>
      </c>
      <c r="X14" s="192">
        <v>6264455.3380875587</v>
      </c>
      <c r="Y14" s="192">
        <v>6762709.357878685</v>
      </c>
      <c r="Z14" s="192">
        <v>10153235.320831299</v>
      </c>
      <c r="AA14" s="192">
        <v>7437761.4055271149</v>
      </c>
      <c r="AB14" s="192">
        <v>8862027.8445940018</v>
      </c>
      <c r="AC14" s="192">
        <v>-4163451.1595578194</v>
      </c>
      <c r="AD14" s="192">
        <v>-10934269.875426769</v>
      </c>
      <c r="AE14" s="192">
        <v>-13224737.525324345</v>
      </c>
      <c r="AF14" s="192">
        <v>-8956189.9012446404</v>
      </c>
      <c r="AG14" s="192">
        <v>12074755.685187817</v>
      </c>
      <c r="AH14" s="192">
        <v>2078228.4309415817</v>
      </c>
      <c r="AI14" s="192">
        <v>-18920009.45370388</v>
      </c>
      <c r="AJ14" s="192">
        <v>-11767925.56826067</v>
      </c>
      <c r="AK14" s="192">
        <v>18614736.281105518</v>
      </c>
      <c r="AL14" s="192">
        <v>13793181.199496746</v>
      </c>
      <c r="AM14" s="192">
        <v>7406274.5280122757</v>
      </c>
      <c r="AN14" s="192">
        <v>12087949.234538078</v>
      </c>
      <c r="AO14" s="192">
        <v>26957076.332182884</v>
      </c>
      <c r="AP14" s="192">
        <v>11976588.441233635</v>
      </c>
      <c r="AQ14" s="192">
        <v>-6230021.9123182297</v>
      </c>
      <c r="AR14" s="192">
        <v>53041358.50458622</v>
      </c>
      <c r="AS14" s="192">
        <v>53041358.50458622</v>
      </c>
      <c r="AT14" s="221"/>
      <c r="AU14" s="235"/>
      <c r="AV14" s="235" t="s">
        <v>94</v>
      </c>
      <c r="AW14" s="191">
        <v>38272540.429495521</v>
      </c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1"/>
      <c r="BN14" s="221"/>
      <c r="BO14" s="221"/>
      <c r="BP14" s="221"/>
      <c r="BQ14" s="221"/>
      <c r="BR14" s="221"/>
      <c r="BS14" s="221"/>
      <c r="BT14" s="221"/>
      <c r="BU14" s="221"/>
      <c r="BV14" s="221"/>
      <c r="BW14" s="221"/>
      <c r="BX14" s="221"/>
      <c r="BY14" s="221"/>
      <c r="BZ14" s="221"/>
      <c r="CA14" s="221"/>
    </row>
    <row r="15" spans="1:79" x14ac:dyDescent="0.2">
      <c r="I15" s="156"/>
      <c r="K15" s="160" t="str">
        <f>$K$5</f>
        <v>Transmission capex</v>
      </c>
      <c r="L15" s="192">
        <v>-138464937.18402365</v>
      </c>
      <c r="M15" s="192">
        <v>-25715467.479306318</v>
      </c>
      <c r="N15" s="192">
        <v>-112749469.70471734</v>
      </c>
      <c r="O15" s="192">
        <v>-35831399.270566955</v>
      </c>
      <c r="P15" s="192">
        <v>-79988839.483082816</v>
      </c>
      <c r="Q15" s="192">
        <v>-332809646.37239742</v>
      </c>
      <c r="S15" s="160" t="str">
        <f>$K$10</f>
        <v>Avoided voluntary load curtailment</v>
      </c>
      <c r="T15" s="192">
        <v>0</v>
      </c>
      <c r="U15" s="192">
        <v>2.4565855280961841</v>
      </c>
      <c r="V15" s="192">
        <v>2.6240406115539372</v>
      </c>
      <c r="W15" s="192">
        <v>153299.99182517827</v>
      </c>
      <c r="X15" s="192">
        <v>170650.19199061673</v>
      </c>
      <c r="Y15" s="192">
        <v>31916.135128230788</v>
      </c>
      <c r="Z15" s="192">
        <v>3.3584680201444037</v>
      </c>
      <c r="AA15" s="192">
        <v>2861.8714803057828</v>
      </c>
      <c r="AB15" s="192">
        <v>1536.8272974038246</v>
      </c>
      <c r="AC15" s="192">
        <v>45042.989314355422</v>
      </c>
      <c r="AD15" s="192">
        <v>6845.2527534463443</v>
      </c>
      <c r="AE15" s="192">
        <v>-13965.592736233259</v>
      </c>
      <c r="AF15" s="192">
        <v>15635.344124084106</v>
      </c>
      <c r="AG15" s="192">
        <v>767007.9492636947</v>
      </c>
      <c r="AH15" s="192">
        <v>410306.92127044871</v>
      </c>
      <c r="AI15" s="192">
        <v>1042104.354003381</v>
      </c>
      <c r="AJ15" s="192">
        <v>2032351.39065836</v>
      </c>
      <c r="AK15" s="192">
        <v>3.3679770891467342E-2</v>
      </c>
      <c r="AL15" s="192">
        <v>-50173.512451934264</v>
      </c>
      <c r="AM15" s="192">
        <v>-351071.79451521579</v>
      </c>
      <c r="AN15" s="192">
        <v>5543024.0305069368</v>
      </c>
      <c r="AO15" s="192">
        <v>-3166392.9939770028</v>
      </c>
      <c r="AP15" s="192">
        <v>3237959.8160258252</v>
      </c>
      <c r="AQ15" s="192">
        <v>351700.3237567246</v>
      </c>
      <c r="AR15" s="192">
        <v>-88379.464858658612</v>
      </c>
      <c r="AS15" s="192">
        <v>-88379.464858658612</v>
      </c>
      <c r="AT15" s="221"/>
      <c r="AU15" s="235"/>
      <c r="AV15" s="235" t="s">
        <v>125</v>
      </c>
      <c r="AW15" s="191">
        <v>-246299.59321111068</v>
      </c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221"/>
      <c r="BN15" s="221"/>
      <c r="BO15" s="221"/>
      <c r="BP15" s="221"/>
      <c r="BQ15" s="221"/>
      <c r="BR15" s="221"/>
      <c r="BS15" s="221"/>
      <c r="BT15" s="221"/>
      <c r="BU15" s="221"/>
      <c r="BV15" s="221"/>
      <c r="BW15" s="221"/>
      <c r="BX15" s="221"/>
      <c r="BY15" s="221"/>
      <c r="BZ15" s="221"/>
      <c r="CA15" s="221"/>
    </row>
    <row r="16" spans="1:79" x14ac:dyDescent="0.2">
      <c r="I16" s="156"/>
      <c r="K16" s="160" t="str">
        <f>$K$6</f>
        <v>Transmission opex</v>
      </c>
      <c r="L16" s="192">
        <v>-22589879.628669944</v>
      </c>
      <c r="M16" s="192">
        <v>-3708371.6782973711</v>
      </c>
      <c r="N16" s="192">
        <v>-18881507.95037258</v>
      </c>
      <c r="O16" s="192">
        <v>-4981394.7917427355</v>
      </c>
      <c r="P16" s="192">
        <v>-8687143.2356444057</v>
      </c>
      <c r="Q16" s="192">
        <v>-33513043.265276469</v>
      </c>
      <c r="S16" s="160" t="str">
        <f>$K$11</f>
        <v>Avoided generation/storage costs (excl. fuel costs)</v>
      </c>
      <c r="T16" s="192">
        <v>0</v>
      </c>
      <c r="U16" s="192">
        <v>292.30119729042053</v>
      </c>
      <c r="V16" s="192">
        <v>9028.8320907354355</v>
      </c>
      <c r="W16" s="192">
        <v>169383789.03214383</v>
      </c>
      <c r="X16" s="192">
        <v>-18098743.401870728</v>
      </c>
      <c r="Y16" s="192">
        <v>-385417.73529231548</v>
      </c>
      <c r="Z16" s="192">
        <v>1770349.2383952141</v>
      </c>
      <c r="AA16" s="192">
        <v>4618953.7076119184</v>
      </c>
      <c r="AB16" s="192">
        <v>5009381.1712803841</v>
      </c>
      <c r="AC16" s="192">
        <v>220232920.7079525</v>
      </c>
      <c r="AD16" s="192">
        <v>67379379.067046165</v>
      </c>
      <c r="AE16" s="192">
        <v>-768159.33664488792</v>
      </c>
      <c r="AF16" s="192">
        <v>55725738.812051773</v>
      </c>
      <c r="AG16" s="192">
        <v>-247186328.82159805</v>
      </c>
      <c r="AH16" s="192">
        <v>125885495.88093853</v>
      </c>
      <c r="AI16" s="192">
        <v>201815791.46401024</v>
      </c>
      <c r="AJ16" s="192">
        <v>60222606.45857811</v>
      </c>
      <c r="AK16" s="192">
        <v>-303982917.64094973</v>
      </c>
      <c r="AL16" s="192">
        <v>-9958815.6163306236</v>
      </c>
      <c r="AM16" s="192">
        <v>-4011990.7772450447</v>
      </c>
      <c r="AN16" s="192">
        <v>102881527.90056467</v>
      </c>
      <c r="AO16" s="192">
        <v>-81648247.899714708</v>
      </c>
      <c r="AP16" s="192">
        <v>69903433.716102839</v>
      </c>
      <c r="AQ16" s="192">
        <v>24283296.132553458</v>
      </c>
      <c r="AR16" s="192">
        <v>-44552661.109240532</v>
      </c>
      <c r="AS16" s="192">
        <v>-44552661.109240532</v>
      </c>
      <c r="AT16" s="221"/>
      <c r="AU16" s="235"/>
      <c r="AV16" s="235" t="s">
        <v>126</v>
      </c>
      <c r="AW16" s="191">
        <v>87076302.921990171</v>
      </c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221"/>
      <c r="BN16" s="221"/>
      <c r="BO16" s="221"/>
      <c r="BP16" s="221"/>
      <c r="BQ16" s="221"/>
      <c r="BR16" s="221"/>
      <c r="BS16" s="221"/>
      <c r="BT16" s="221"/>
      <c r="BU16" s="221"/>
      <c r="BV16" s="221"/>
      <c r="BW16" s="221"/>
      <c r="BX16" s="221"/>
      <c r="BY16" s="221"/>
      <c r="BZ16" s="221"/>
      <c r="CA16" s="221"/>
    </row>
    <row r="17" spans="1:72" x14ac:dyDescent="0.2">
      <c r="I17" s="156"/>
      <c r="K17" s="160" t="str">
        <f>$K$7</f>
        <v>Avoided unserved energy</v>
      </c>
      <c r="L17" s="192">
        <v>6847940.5294074602</v>
      </c>
      <c r="M17" s="192">
        <v>-3911997.0420674719</v>
      </c>
      <c r="N17" s="192">
        <v>21794814.557855465</v>
      </c>
      <c r="O17" s="192">
        <v>11888680.416165991</v>
      </c>
      <c r="P17" s="192">
        <v>1066178.9578922903</v>
      </c>
      <c r="Q17" s="192">
        <v>5330894.7894614292</v>
      </c>
      <c r="AU17" s="235" t="s">
        <v>144</v>
      </c>
      <c r="AV17" s="235" t="s">
        <v>122</v>
      </c>
      <c r="AW17" s="191">
        <v>211617577.9058848</v>
      </c>
    </row>
    <row r="18" spans="1:72" x14ac:dyDescent="0.2">
      <c r="I18" s="156"/>
      <c r="K18" s="160" t="str">
        <f>$K$8</f>
        <v>Avoided REZ transmission capex</v>
      </c>
      <c r="L18" s="192">
        <v>24041337.702969268</v>
      </c>
      <c r="M18" s="192">
        <v>18370986.638124477</v>
      </c>
      <c r="N18" s="192">
        <v>-1358871.145994066</v>
      </c>
      <c r="O18" s="192">
        <v>-962047.9847714192</v>
      </c>
      <c r="P18" s="192">
        <v>5622412.8428756595</v>
      </c>
      <c r="Q18" s="192">
        <v>28112064.214378189</v>
      </c>
      <c r="S18" s="159" t="str">
        <f>B10</f>
        <v>Neutral + lower emissions</v>
      </c>
      <c r="T18" s="162" t="str">
        <f>T$4</f>
        <v>2019-20</v>
      </c>
      <c r="U18" s="162" t="str">
        <f t="shared" ref="U18:AS18" si="3">U$4</f>
        <v>2020-21</v>
      </c>
      <c r="V18" s="162" t="str">
        <f t="shared" si="3"/>
        <v>2021-22</v>
      </c>
      <c r="W18" s="162" t="str">
        <f t="shared" si="3"/>
        <v>2022-23</v>
      </c>
      <c r="X18" s="162" t="str">
        <f t="shared" si="3"/>
        <v>2023-24</v>
      </c>
      <c r="Y18" s="162" t="str">
        <f t="shared" si="3"/>
        <v>2024-25</v>
      </c>
      <c r="Z18" s="162" t="str">
        <f t="shared" si="3"/>
        <v>2025-26</v>
      </c>
      <c r="AA18" s="162" t="str">
        <f t="shared" si="3"/>
        <v>2026-27</v>
      </c>
      <c r="AB18" s="162" t="str">
        <f t="shared" si="3"/>
        <v>2027-28</v>
      </c>
      <c r="AC18" s="162" t="str">
        <f t="shared" si="3"/>
        <v>2028-29</v>
      </c>
      <c r="AD18" s="162" t="str">
        <f t="shared" si="3"/>
        <v>2029-30</v>
      </c>
      <c r="AE18" s="162" t="str">
        <f t="shared" si="3"/>
        <v>2030-31</v>
      </c>
      <c r="AF18" s="162" t="str">
        <f t="shared" si="3"/>
        <v>2031-32</v>
      </c>
      <c r="AG18" s="162" t="str">
        <f t="shared" si="3"/>
        <v>2032-33</v>
      </c>
      <c r="AH18" s="162" t="str">
        <f t="shared" si="3"/>
        <v>2033-34</v>
      </c>
      <c r="AI18" s="162" t="str">
        <f t="shared" si="3"/>
        <v>2034-35</v>
      </c>
      <c r="AJ18" s="162" t="str">
        <f t="shared" si="3"/>
        <v>2035-36</v>
      </c>
      <c r="AK18" s="162" t="str">
        <f t="shared" si="3"/>
        <v>2036-37</v>
      </c>
      <c r="AL18" s="162" t="str">
        <f t="shared" si="3"/>
        <v>2037-38</v>
      </c>
      <c r="AM18" s="162" t="str">
        <f t="shared" si="3"/>
        <v>2038-39</v>
      </c>
      <c r="AN18" s="162" t="str">
        <f t="shared" si="3"/>
        <v>2039-40</v>
      </c>
      <c r="AO18" s="162" t="str">
        <f t="shared" si="3"/>
        <v>2040-41</v>
      </c>
      <c r="AP18" s="162" t="str">
        <f t="shared" si="3"/>
        <v>2041-42</v>
      </c>
      <c r="AQ18" s="162" t="str">
        <f t="shared" si="3"/>
        <v>2042-43</v>
      </c>
      <c r="AR18" s="162" t="str">
        <f t="shared" si="3"/>
        <v>2043-44</v>
      </c>
      <c r="AS18" s="162" t="str">
        <f t="shared" si="3"/>
        <v>2044-45</v>
      </c>
      <c r="AT18" s="172"/>
      <c r="AU18" s="235"/>
      <c r="AV18" s="235" t="s">
        <v>123</v>
      </c>
      <c r="AW18" s="191">
        <v>153834702.66857401</v>
      </c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</row>
    <row r="19" spans="1:72" x14ac:dyDescent="0.2">
      <c r="I19" s="156"/>
      <c r="K19" s="160" t="str">
        <f>$K$9</f>
        <v>Avoided fuel costs</v>
      </c>
      <c r="L19" s="192">
        <v>58460685.474644393</v>
      </c>
      <c r="M19" s="192">
        <v>92445011.467158586</v>
      </c>
      <c r="N19" s="192">
        <v>-21035460.487039506</v>
      </c>
      <c r="O19" s="192">
        <v>-6287245.0419739988</v>
      </c>
      <c r="P19" s="192">
        <v>7876093.4886554414</v>
      </c>
      <c r="Q19" s="192">
        <v>39380467.443274513</v>
      </c>
      <c r="S19" s="160" t="str">
        <f>$K$7</f>
        <v>Avoided unserved energy</v>
      </c>
      <c r="T19" s="192">
        <v>0</v>
      </c>
      <c r="U19" s="192">
        <v>3.7367151000000098E-2</v>
      </c>
      <c r="V19" s="192">
        <v>3.5163829103112221E-2</v>
      </c>
      <c r="W19" s="192">
        <v>-3326346.2577160075</v>
      </c>
      <c r="X19" s="192">
        <v>694665.07273736596</v>
      </c>
      <c r="Y19" s="192">
        <v>6589645.9747536927</v>
      </c>
      <c r="Z19" s="192">
        <v>4.9791349044491007E-2</v>
      </c>
      <c r="AA19" s="192">
        <v>5.272355740141732E-2</v>
      </c>
      <c r="AB19" s="192">
        <v>5.6013333407457289E-2</v>
      </c>
      <c r="AC19" s="192">
        <v>513961.10660904227</v>
      </c>
      <c r="AD19" s="192">
        <v>-2276808.7213858385</v>
      </c>
      <c r="AE19" s="192">
        <v>-56577.12887891382</v>
      </c>
      <c r="AF19" s="192">
        <v>7.0373782457653355E-2</v>
      </c>
      <c r="AG19" s="192">
        <v>-2101887.6526167914</v>
      </c>
      <c r="AH19" s="192">
        <v>-2172016.721915558</v>
      </c>
      <c r="AI19" s="192">
        <v>-411823.79920155671</v>
      </c>
      <c r="AJ19" s="192">
        <v>-626925.42541202903</v>
      </c>
      <c r="AK19" s="192">
        <v>9.3062704598095181E-2</v>
      </c>
      <c r="AL19" s="192">
        <v>9.8459981549799735E-2</v>
      </c>
      <c r="AM19" s="192">
        <v>-42948.918686142577</v>
      </c>
      <c r="AN19" s="192">
        <v>22974703.691099592</v>
      </c>
      <c r="AO19" s="192">
        <v>0.11678367216506569</v>
      </c>
      <c r="AP19" s="192">
        <v>1537981.5917600244</v>
      </c>
      <c r="AQ19" s="192">
        <v>-54725.227074960247</v>
      </c>
      <c r="AR19" s="192">
        <v>1173082.9094762895</v>
      </c>
      <c r="AS19" s="192">
        <v>1173082.9094762895</v>
      </c>
      <c r="AT19" s="221"/>
      <c r="AU19" s="235"/>
      <c r="AV19" s="235" t="s">
        <v>124</v>
      </c>
      <c r="AW19" s="191">
        <v>14686807.546250127</v>
      </c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J19" s="173"/>
      <c r="BK19" s="173"/>
      <c r="BL19" s="173"/>
      <c r="BM19" s="173"/>
      <c r="BN19" s="173"/>
      <c r="BO19" s="173"/>
      <c r="BP19" s="173"/>
      <c r="BQ19" s="173"/>
      <c r="BR19" s="173"/>
      <c r="BS19" s="173"/>
      <c r="BT19" s="173"/>
    </row>
    <row r="20" spans="1:72" x14ac:dyDescent="0.2">
      <c r="I20" s="156"/>
      <c r="K20" s="160" t="str">
        <f>$K$10</f>
        <v>Avoided voluntary load curtailment</v>
      </c>
      <c r="L20" s="192">
        <v>3788340.0905448608</v>
      </c>
      <c r="M20" s="192">
        <v>-159783.0812292872</v>
      </c>
      <c r="N20" s="192">
        <v>2363645.1192489699</v>
      </c>
      <c r="O20" s="192">
        <v>1005060.8540779117</v>
      </c>
      <c r="P20" s="192">
        <v>384566.61553633545</v>
      </c>
      <c r="Q20" s="192">
        <v>1922833.0776816758</v>
      </c>
      <c r="S20" s="160" t="str">
        <f>$K$8</f>
        <v>Avoided REZ transmission capex</v>
      </c>
      <c r="T20" s="192">
        <v>0</v>
      </c>
      <c r="U20" s="192">
        <v>0.45408489212011105</v>
      </c>
      <c r="V20" s="192">
        <v>2.965399594337792E-2</v>
      </c>
      <c r="W20" s="192">
        <v>13938299.380966365</v>
      </c>
      <c r="X20" s="192">
        <v>-2.2632366943235005E-2</v>
      </c>
      <c r="Y20" s="192">
        <v>-11960971.473415107</v>
      </c>
      <c r="Z20" s="192">
        <v>18220187.618880838</v>
      </c>
      <c r="AA20" s="192">
        <v>2.3943110647889565E-2</v>
      </c>
      <c r="AB20" s="192">
        <v>28449009.36221686</v>
      </c>
      <c r="AC20" s="192">
        <v>-4649275.8536953926</v>
      </c>
      <c r="AD20" s="192">
        <v>-4488125.2655808032</v>
      </c>
      <c r="AE20" s="192">
        <v>-4602968.0921372026</v>
      </c>
      <c r="AF20" s="192">
        <v>-3162994.9779568315</v>
      </c>
      <c r="AG20" s="192">
        <v>19280444.486467212</v>
      </c>
      <c r="AH20" s="192">
        <v>-3793485.6950483322</v>
      </c>
      <c r="AI20" s="192">
        <v>-1.2790972703596304E-2</v>
      </c>
      <c r="AJ20" s="192">
        <v>18354818.577407122</v>
      </c>
      <c r="AK20" s="192">
        <v>-17687762.68885652</v>
      </c>
      <c r="AL20" s="192">
        <v>-5020069.9623124301</v>
      </c>
      <c r="AM20" s="192">
        <v>-11352569.470288575</v>
      </c>
      <c r="AN20" s="192">
        <v>23135483.811795652</v>
      </c>
      <c r="AO20" s="192">
        <v>-3013055.1008264422</v>
      </c>
      <c r="AP20" s="192">
        <v>6411290.0431306958</v>
      </c>
      <c r="AQ20" s="192">
        <v>-1.9260163332365007E-2</v>
      </c>
      <c r="AR20" s="192">
        <v>3701107.509147644</v>
      </c>
      <c r="AS20" s="192">
        <v>3701107.509147644</v>
      </c>
      <c r="AT20" s="221"/>
      <c r="AU20" s="235"/>
      <c r="AV20" s="235" t="s">
        <v>94</v>
      </c>
      <c r="AW20" s="191">
        <v>48303918.580351405</v>
      </c>
      <c r="AX20" s="184"/>
      <c r="AY20" s="186"/>
      <c r="AZ20" s="237"/>
      <c r="BA20" s="237"/>
      <c r="BB20" s="237"/>
      <c r="BC20" s="237"/>
      <c r="BD20" s="237"/>
      <c r="BE20" s="237"/>
      <c r="BF20" s="184"/>
      <c r="BG20" s="184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</row>
    <row r="21" spans="1:72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K21" s="160" t="str">
        <f>$K$11</f>
        <v>Avoided generation/storage costs (excl. fuel costs)</v>
      </c>
      <c r="L21" s="193">
        <v>285792624.26463562</v>
      </c>
      <c r="M21" s="193">
        <v>72138855.007727504</v>
      </c>
      <c r="N21" s="193">
        <v>144638247.22212476</v>
      </c>
      <c r="O21" s="193">
        <v>89425443.438943207</v>
      </c>
      <c r="P21" s="193">
        <v>84940991.524211556</v>
      </c>
      <c r="Q21" s="193">
        <v>424704957.62105376</v>
      </c>
      <c r="S21" s="160" t="str">
        <f>$K$9</f>
        <v>Avoided fuel costs</v>
      </c>
      <c r="T21" s="192">
        <v>0</v>
      </c>
      <c r="U21" s="192">
        <v>-211.68332862854004</v>
      </c>
      <c r="V21" s="192">
        <v>-86935.135242938995</v>
      </c>
      <c r="W21" s="192">
        <v>747708.02843618393</v>
      </c>
      <c r="X21" s="192">
        <v>2148534.4334688187</v>
      </c>
      <c r="Y21" s="192">
        <v>825414.60804128647</v>
      </c>
      <c r="Z21" s="192">
        <v>-235284.28084135056</v>
      </c>
      <c r="AA21" s="192">
        <v>388595.53214263916</v>
      </c>
      <c r="AB21" s="192">
        <v>2405903.1031351089</v>
      </c>
      <c r="AC21" s="192">
        <v>3038569.4320967197</v>
      </c>
      <c r="AD21" s="192">
        <v>1331444.2113361359</v>
      </c>
      <c r="AE21" s="192">
        <v>3299972.4272954464</v>
      </c>
      <c r="AF21" s="192">
        <v>8689115.5744116306</v>
      </c>
      <c r="AG21" s="192">
        <v>8863894.4946930408</v>
      </c>
      <c r="AH21" s="192">
        <v>15251988.336649179</v>
      </c>
      <c r="AI21" s="192">
        <v>-3239589.5483870506</v>
      </c>
      <c r="AJ21" s="192">
        <v>6135947.1997950077</v>
      </c>
      <c r="AK21" s="192">
        <v>1997680.2879159451</v>
      </c>
      <c r="AL21" s="192">
        <v>9260619.4456598759</v>
      </c>
      <c r="AM21" s="192">
        <v>6872000.7445323467</v>
      </c>
      <c r="AN21" s="192">
        <v>17081986.503778219</v>
      </c>
      <c r="AO21" s="192">
        <v>14312935.051561356</v>
      </c>
      <c r="AP21" s="192">
        <v>21263802.717440128</v>
      </c>
      <c r="AQ21" s="192">
        <v>20464377.379600286</v>
      </c>
      <c r="AR21" s="192">
        <v>28744072.76130867</v>
      </c>
      <c r="AS21" s="192">
        <v>28744072.76130867</v>
      </c>
      <c r="AT21" s="221"/>
      <c r="AU21" s="235"/>
      <c r="AV21" s="235" t="s">
        <v>125</v>
      </c>
      <c r="AW21" s="191">
        <v>21151268.347774494</v>
      </c>
      <c r="AX21" s="184"/>
      <c r="AY21" s="186"/>
      <c r="AZ21" s="187"/>
      <c r="BA21" s="187"/>
      <c r="BB21" s="187"/>
      <c r="BC21" s="187"/>
      <c r="BD21" s="187"/>
      <c r="BE21" s="187"/>
      <c r="BF21" s="184"/>
      <c r="BG21" s="184"/>
      <c r="BJ21" s="173"/>
      <c r="BK21" s="173"/>
      <c r="BL21" s="173"/>
      <c r="BM21" s="173"/>
      <c r="BN21" s="173"/>
      <c r="BO21" s="173"/>
      <c r="BP21" s="173"/>
      <c r="BQ21" s="173"/>
      <c r="BR21" s="173"/>
      <c r="BS21" s="173"/>
      <c r="BT21" s="173"/>
    </row>
    <row r="22" spans="1:72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K22" s="160" t="s">
        <v>38</v>
      </c>
      <c r="L22" s="166">
        <f>_xlfn.AGGREGATE(9,6,L15:L21)</f>
        <v>217876111.24950802</v>
      </c>
      <c r="M22" s="166">
        <f t="shared" ref="M22:Q22" si="4">_xlfn.AGGREGATE(9,6,M15:M21)</f>
        <v>149459233.83211011</v>
      </c>
      <c r="N22" s="166">
        <f t="shared" si="4"/>
        <v>14771397.611105695</v>
      </c>
      <c r="O22" s="166">
        <f t="shared" si="4"/>
        <v>54257097.620132007</v>
      </c>
      <c r="P22" s="166">
        <f t="shared" si="4"/>
        <v>11214260.710444063</v>
      </c>
      <c r="Q22" s="166">
        <f t="shared" si="4"/>
        <v>133128527.50817561</v>
      </c>
      <c r="S22" s="160" t="str">
        <f>$K$10</f>
        <v>Avoided voluntary load curtailment</v>
      </c>
      <c r="T22" s="192">
        <v>0</v>
      </c>
      <c r="U22" s="192">
        <v>0.12116927199895144</v>
      </c>
      <c r="V22" s="192">
        <v>0.12386669218540192</v>
      </c>
      <c r="W22" s="192">
        <v>318789.52771007083</v>
      </c>
      <c r="X22" s="192">
        <v>-338927.50387255382</v>
      </c>
      <c r="Y22" s="192">
        <v>-85281.830207275227</v>
      </c>
      <c r="Z22" s="192">
        <v>0.16958116618890617</v>
      </c>
      <c r="AA22" s="192">
        <v>0.17691199091131171</v>
      </c>
      <c r="AB22" s="192">
        <v>0.19710042156040686</v>
      </c>
      <c r="AC22" s="192">
        <v>-52964.233990089968</v>
      </c>
      <c r="AD22" s="192">
        <v>-13374.747227534885</v>
      </c>
      <c r="AE22" s="192">
        <v>15231.180339173879</v>
      </c>
      <c r="AF22" s="192">
        <v>35729.642762007657</v>
      </c>
      <c r="AG22" s="192">
        <v>-122876.50711648725</v>
      </c>
      <c r="AH22" s="192">
        <v>1004834.6450773031</v>
      </c>
      <c r="AI22" s="192">
        <v>1744495.2570571653</v>
      </c>
      <c r="AJ22" s="192">
        <v>5065322.1876776852</v>
      </c>
      <c r="AK22" s="192">
        <v>0.34085723274703739</v>
      </c>
      <c r="AL22" s="192">
        <v>0.36951899609567818</v>
      </c>
      <c r="AM22" s="192">
        <v>52845.694351766258</v>
      </c>
      <c r="AN22" s="192">
        <v>7845059.9811257217</v>
      </c>
      <c r="AO22" s="192">
        <v>1455443.3950463654</v>
      </c>
      <c r="AP22" s="192">
        <v>15475325.824337786</v>
      </c>
      <c r="AQ22" s="192">
        <v>5173434.4132283553</v>
      </c>
      <c r="AR22" s="192">
        <v>27313566.861853927</v>
      </c>
      <c r="AS22" s="192">
        <v>27313566.861853927</v>
      </c>
      <c r="AT22" s="221"/>
      <c r="AU22" s="235"/>
      <c r="AV22" s="235" t="s">
        <v>126</v>
      </c>
      <c r="AW22" s="191">
        <v>174412991.40722311</v>
      </c>
      <c r="AX22" s="184"/>
      <c r="AY22" s="188"/>
      <c r="AZ22" s="189"/>
      <c r="BA22" s="189"/>
      <c r="BB22" s="189"/>
      <c r="BC22" s="189"/>
      <c r="BD22" s="189"/>
      <c r="BE22" s="189"/>
      <c r="BF22" s="184"/>
      <c r="BG22" s="184"/>
      <c r="BJ22" s="173"/>
      <c r="BK22" s="173"/>
      <c r="BL22" s="173"/>
      <c r="BM22" s="173"/>
      <c r="BN22" s="173"/>
      <c r="BO22" s="173"/>
      <c r="BP22" s="173"/>
      <c r="BQ22" s="173"/>
      <c r="BR22" s="173"/>
      <c r="BS22" s="173"/>
      <c r="BT22" s="173"/>
    </row>
    <row r="23" spans="1:72" x14ac:dyDescent="0.2">
      <c r="A23" s="212"/>
      <c r="B23" s="212"/>
      <c r="C23" s="212"/>
      <c r="D23" s="212"/>
      <c r="E23" s="212"/>
      <c r="F23" s="212"/>
      <c r="G23" s="212"/>
      <c r="H23" s="212"/>
      <c r="L23" s="169"/>
      <c r="M23" s="169"/>
      <c r="N23" s="169"/>
      <c r="O23" s="169"/>
      <c r="P23" s="169"/>
      <c r="Q23" s="169"/>
      <c r="S23" s="160" t="str">
        <f>$K$11</f>
        <v>Avoided generation/storage costs (excl. fuel costs)</v>
      </c>
      <c r="T23" s="192">
        <v>0</v>
      </c>
      <c r="U23" s="192">
        <v>24.455248832702637</v>
      </c>
      <c r="V23" s="192">
        <v>5572.997943520546</v>
      </c>
      <c r="W23" s="192">
        <v>235125058.95377588</v>
      </c>
      <c r="X23" s="192">
        <v>-25188850.621171474</v>
      </c>
      <c r="Y23" s="192">
        <v>-30080346.438417435</v>
      </c>
      <c r="Z23" s="192">
        <v>-15602276.128387451</v>
      </c>
      <c r="AA23" s="192">
        <v>13355984.676273823</v>
      </c>
      <c r="AB23" s="192">
        <v>30310750.817428589</v>
      </c>
      <c r="AC23" s="192">
        <v>24115239.756476402</v>
      </c>
      <c r="AD23" s="192">
        <v>29215270.462067604</v>
      </c>
      <c r="AE23" s="192">
        <v>-59857842.598344803</v>
      </c>
      <c r="AF23" s="192">
        <v>-37464178.783686638</v>
      </c>
      <c r="AG23" s="192">
        <v>54814669.263412476</v>
      </c>
      <c r="AH23" s="192">
        <v>-32356578.829951286</v>
      </c>
      <c r="AI23" s="192">
        <v>101917556.51449847</v>
      </c>
      <c r="AJ23" s="192">
        <v>114599712.21725082</v>
      </c>
      <c r="AK23" s="192">
        <v>5032401.0288701057</v>
      </c>
      <c r="AL23" s="192">
        <v>-69631447.89977169</v>
      </c>
      <c r="AM23" s="192">
        <v>-23108009.116677999</v>
      </c>
      <c r="AN23" s="192">
        <v>8324983.8437452316</v>
      </c>
      <c r="AO23" s="192">
        <v>13588837.983064651</v>
      </c>
      <c r="AP23" s="192">
        <v>-6038091.8586401939</v>
      </c>
      <c r="AQ23" s="192">
        <v>-873248.56315517426</v>
      </c>
      <c r="AR23" s="192">
        <v>75354094.608267784</v>
      </c>
      <c r="AS23" s="192">
        <v>75354094.608267784</v>
      </c>
      <c r="AT23" s="221"/>
      <c r="AU23" s="182"/>
      <c r="AV23" s="182"/>
      <c r="AW23" s="182"/>
      <c r="AX23" s="184"/>
      <c r="AY23" s="188"/>
      <c r="AZ23" s="189"/>
      <c r="BA23" s="189"/>
      <c r="BB23" s="189"/>
      <c r="BC23" s="189"/>
      <c r="BD23" s="189"/>
      <c r="BE23" s="189"/>
      <c r="BF23" s="184"/>
      <c r="BG23" s="184"/>
      <c r="BJ23" s="173"/>
      <c r="BK23" s="173"/>
      <c r="BL23" s="173"/>
      <c r="BM23" s="173"/>
      <c r="BN23" s="173"/>
      <c r="BO23" s="173"/>
      <c r="BP23" s="173"/>
      <c r="BQ23" s="173"/>
      <c r="BR23" s="173"/>
      <c r="BS23" s="173"/>
      <c r="BT23" s="173"/>
    </row>
    <row r="24" spans="1:72" x14ac:dyDescent="0.2">
      <c r="A24" s="212"/>
      <c r="B24" s="212"/>
      <c r="C24" s="212"/>
      <c r="D24" s="212"/>
      <c r="E24" s="212"/>
      <c r="F24" s="212"/>
      <c r="G24" s="212"/>
      <c r="H24" s="212"/>
      <c r="K24" s="159"/>
      <c r="L24" s="236" t="s">
        <v>128</v>
      </c>
      <c r="M24" s="236"/>
      <c r="N24" s="236"/>
      <c r="O24" s="236"/>
      <c r="P24" s="236" t="s">
        <v>127</v>
      </c>
      <c r="Q24" s="236"/>
      <c r="AU24" s="183" t="s">
        <v>148</v>
      </c>
      <c r="AV24" s="183" t="s">
        <v>54</v>
      </c>
      <c r="AW24" s="183" t="s">
        <v>8</v>
      </c>
      <c r="AX24" s="184"/>
      <c r="AY24" s="188"/>
      <c r="AZ24" s="189"/>
      <c r="BA24" s="189"/>
      <c r="BB24" s="189"/>
      <c r="BC24" s="189"/>
      <c r="BD24" s="189"/>
      <c r="BE24" s="189"/>
      <c r="BF24" s="184"/>
      <c r="BG24" s="184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173"/>
      <c r="BS24" s="173"/>
      <c r="BT24" s="173"/>
    </row>
    <row r="25" spans="1:72" x14ac:dyDescent="0.2">
      <c r="A25" s="212"/>
      <c r="B25" s="212"/>
      <c r="C25" s="212"/>
      <c r="D25" s="212"/>
      <c r="E25" s="212"/>
      <c r="F25" s="212"/>
      <c r="G25" s="212"/>
      <c r="H25" s="212"/>
      <c r="K25" s="159" t="s">
        <v>116</v>
      </c>
      <c r="L25" s="162" t="str">
        <f>$C$4</f>
        <v>Option 1A</v>
      </c>
      <c r="M25" s="162" t="str">
        <f>$D$4</f>
        <v>Option 1B</v>
      </c>
      <c r="N25" s="162" t="str">
        <f>$E$4</f>
        <v>Option 1C</v>
      </c>
      <c r="O25" s="162" t="str">
        <f>$F$4</f>
        <v>Option 1D</v>
      </c>
      <c r="P25" s="162" t="str">
        <f>$G$4</f>
        <v>Option 5A</v>
      </c>
      <c r="Q25" s="162" t="str">
        <f>$H$4</f>
        <v>Option 5B</v>
      </c>
      <c r="S25" s="159" t="str">
        <f>B11</f>
        <v>Slow change</v>
      </c>
      <c r="T25" s="162" t="str">
        <f>T$4</f>
        <v>2019-20</v>
      </c>
      <c r="U25" s="162" t="str">
        <f t="shared" ref="U25:AS25" si="5">U$4</f>
        <v>2020-21</v>
      </c>
      <c r="V25" s="162" t="str">
        <f t="shared" si="5"/>
        <v>2021-22</v>
      </c>
      <c r="W25" s="162" t="str">
        <f t="shared" si="5"/>
        <v>2022-23</v>
      </c>
      <c r="X25" s="162" t="str">
        <f t="shared" si="5"/>
        <v>2023-24</v>
      </c>
      <c r="Y25" s="162" t="str">
        <f t="shared" si="5"/>
        <v>2024-25</v>
      </c>
      <c r="Z25" s="162" t="str">
        <f t="shared" si="5"/>
        <v>2025-26</v>
      </c>
      <c r="AA25" s="162" t="str">
        <f t="shared" si="5"/>
        <v>2026-27</v>
      </c>
      <c r="AB25" s="162" t="str">
        <f t="shared" si="5"/>
        <v>2027-28</v>
      </c>
      <c r="AC25" s="162" t="str">
        <f t="shared" si="5"/>
        <v>2028-29</v>
      </c>
      <c r="AD25" s="162" t="str">
        <f t="shared" si="5"/>
        <v>2029-30</v>
      </c>
      <c r="AE25" s="162" t="str">
        <f t="shared" si="5"/>
        <v>2030-31</v>
      </c>
      <c r="AF25" s="162" t="str">
        <f t="shared" si="5"/>
        <v>2031-32</v>
      </c>
      <c r="AG25" s="162" t="str">
        <f t="shared" si="5"/>
        <v>2032-33</v>
      </c>
      <c r="AH25" s="162" t="str">
        <f t="shared" si="5"/>
        <v>2033-34</v>
      </c>
      <c r="AI25" s="162" t="str">
        <f t="shared" si="5"/>
        <v>2034-35</v>
      </c>
      <c r="AJ25" s="162" t="str">
        <f t="shared" si="5"/>
        <v>2035-36</v>
      </c>
      <c r="AK25" s="162" t="str">
        <f t="shared" si="5"/>
        <v>2036-37</v>
      </c>
      <c r="AL25" s="162" t="str">
        <f t="shared" si="5"/>
        <v>2037-38</v>
      </c>
      <c r="AM25" s="162" t="str">
        <f t="shared" si="5"/>
        <v>2038-39</v>
      </c>
      <c r="AN25" s="162" t="str">
        <f t="shared" si="5"/>
        <v>2039-40</v>
      </c>
      <c r="AO25" s="162" t="str">
        <f t="shared" si="5"/>
        <v>2040-41</v>
      </c>
      <c r="AP25" s="162" t="str">
        <f t="shared" si="5"/>
        <v>2041-42</v>
      </c>
      <c r="AQ25" s="162" t="str">
        <f t="shared" si="5"/>
        <v>2042-43</v>
      </c>
      <c r="AR25" s="162" t="str">
        <f t="shared" si="5"/>
        <v>2043-44</v>
      </c>
      <c r="AS25" s="162" t="str">
        <f t="shared" si="5"/>
        <v>2044-45</v>
      </c>
      <c r="AT25" s="172"/>
      <c r="AU25" s="235" t="s">
        <v>145</v>
      </c>
      <c r="AV25" s="235" t="s">
        <v>122</v>
      </c>
      <c r="AW25" s="191">
        <v>115564660.5328531</v>
      </c>
      <c r="AX25" s="184"/>
      <c r="AY25" s="188"/>
      <c r="AZ25" s="189"/>
      <c r="BA25" s="189"/>
      <c r="BB25" s="189"/>
      <c r="BC25" s="189"/>
      <c r="BD25" s="189"/>
      <c r="BE25" s="189"/>
      <c r="BF25" s="185"/>
      <c r="BG25" s="185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</row>
    <row r="26" spans="1:72" x14ac:dyDescent="0.2">
      <c r="A26" s="212"/>
      <c r="B26" s="212"/>
      <c r="C26" s="212"/>
      <c r="D26" s="212"/>
      <c r="E26" s="212"/>
      <c r="F26" s="212"/>
      <c r="G26" s="212"/>
      <c r="H26" s="212"/>
      <c r="K26" s="160" t="str">
        <f>$K$5</f>
        <v>Transmission capex</v>
      </c>
      <c r="L26" s="192">
        <v>-138464937.18402365</v>
      </c>
      <c r="M26" s="192">
        <v>-25715467.479306318</v>
      </c>
      <c r="N26" s="192">
        <v>-112749469.70471734</v>
      </c>
      <c r="O26" s="192">
        <v>-35831399.270566955</v>
      </c>
      <c r="P26" s="192">
        <v>-79988839.483082816</v>
      </c>
      <c r="Q26" s="192">
        <v>-332809646.37239742</v>
      </c>
      <c r="S26" s="160" t="str">
        <f>$K$7</f>
        <v>Avoided unserved energy</v>
      </c>
      <c r="T26" s="192">
        <v>0</v>
      </c>
      <c r="U26" s="192">
        <v>-21.302735416218638</v>
      </c>
      <c r="V26" s="192">
        <v>-13.029326964169741</v>
      </c>
      <c r="W26" s="192">
        <v>3125290.0566504747</v>
      </c>
      <c r="X26" s="192">
        <v>-1005071.5403508674</v>
      </c>
      <c r="Y26" s="192">
        <v>1412325.6974728592</v>
      </c>
      <c r="Z26" s="192">
        <v>2342726.6374696903</v>
      </c>
      <c r="AA26" s="192">
        <v>1137877.3685140004</v>
      </c>
      <c r="AB26" s="192">
        <v>1399815.2799642198</v>
      </c>
      <c r="AC26" s="192">
        <v>-10685721.59067744</v>
      </c>
      <c r="AD26" s="192">
        <v>-307227.5531557519</v>
      </c>
      <c r="AE26" s="192">
        <v>7.3534675068578359</v>
      </c>
      <c r="AF26" s="192">
        <v>742435.9015924558</v>
      </c>
      <c r="AG26" s="192">
        <v>-1418215.7111171633</v>
      </c>
      <c r="AH26" s="192">
        <v>489221.2788837254</v>
      </c>
      <c r="AI26" s="192">
        <v>-260310.02204283187</v>
      </c>
      <c r="AJ26" s="192">
        <v>6783508.1192437038</v>
      </c>
      <c r="AK26" s="192">
        <v>82631.643104469287</v>
      </c>
      <c r="AL26" s="192">
        <v>6347831.2078018896</v>
      </c>
      <c r="AM26" s="192">
        <v>2138553.9296769118</v>
      </c>
      <c r="AN26" s="192">
        <v>-25027.957040029112</v>
      </c>
      <c r="AO26" s="192">
        <v>-108210.17734310776</v>
      </c>
      <c r="AP26" s="192">
        <v>-176709.77407882363</v>
      </c>
      <c r="AQ26" s="192">
        <v>3583062.897813186</v>
      </c>
      <c r="AR26" s="192">
        <v>765839.20583206415</v>
      </c>
      <c r="AS26" s="192">
        <v>765839.20583206415</v>
      </c>
      <c r="AT26" s="221"/>
      <c r="AU26" s="235"/>
      <c r="AV26" s="235" t="s">
        <v>123</v>
      </c>
      <c r="AW26" s="191">
        <v>97317803.827302054</v>
      </c>
      <c r="AX26" s="184"/>
      <c r="AY26" s="188"/>
      <c r="AZ26" s="189"/>
      <c r="BA26" s="189"/>
      <c r="BB26" s="189"/>
      <c r="BC26" s="189"/>
      <c r="BD26" s="189"/>
      <c r="BE26" s="189"/>
      <c r="BF26" s="184"/>
      <c r="BG26" s="184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173"/>
      <c r="BS26" s="173"/>
      <c r="BT26" s="173"/>
    </row>
    <row r="27" spans="1:72" x14ac:dyDescent="0.2">
      <c r="A27" s="212"/>
      <c r="B27" s="212"/>
      <c r="C27" s="212"/>
      <c r="D27" s="212"/>
      <c r="E27" s="212"/>
      <c r="F27" s="212"/>
      <c r="G27" s="212"/>
      <c r="H27" s="212"/>
      <c r="K27" s="160" t="str">
        <f>$K$6</f>
        <v>Transmission opex</v>
      </c>
      <c r="L27" s="192">
        <v>-22589879.628669944</v>
      </c>
      <c r="M27" s="192">
        <v>-3708371.6782973711</v>
      </c>
      <c r="N27" s="192">
        <v>-18881507.95037258</v>
      </c>
      <c r="O27" s="192">
        <v>-4981394.7917427355</v>
      </c>
      <c r="P27" s="192">
        <v>-8687143.2356444057</v>
      </c>
      <c r="Q27" s="192">
        <v>-33513043.265276469</v>
      </c>
      <c r="S27" s="160" t="str">
        <f>$K$8</f>
        <v>Avoided REZ transmission capex</v>
      </c>
      <c r="T27" s="192">
        <v>0</v>
      </c>
      <c r="U27" s="192">
        <v>50.19243043642755</v>
      </c>
      <c r="V27" s="192">
        <v>1.7055394194789271</v>
      </c>
      <c r="W27" s="192">
        <v>5.9082380145812801</v>
      </c>
      <c r="X27" s="192">
        <v>1.9040967128953403</v>
      </c>
      <c r="Y27" s="192">
        <v>2.4817064806654883</v>
      </c>
      <c r="Z27" s="192">
        <v>3.6192397281339823</v>
      </c>
      <c r="AA27" s="192">
        <v>3.3894733528832712</v>
      </c>
      <c r="AB27" s="192">
        <v>2.5290439422833972</v>
      </c>
      <c r="AC27" s="192">
        <v>14.623835437527561</v>
      </c>
      <c r="AD27" s="192">
        <v>20.055021994115499</v>
      </c>
      <c r="AE27" s="192">
        <v>1.2534825913785008</v>
      </c>
      <c r="AF27" s="192">
        <v>0.72469967743295538</v>
      </c>
      <c r="AG27" s="192">
        <v>6.7277713749209136</v>
      </c>
      <c r="AH27" s="192">
        <v>7.2327812825330557</v>
      </c>
      <c r="AI27" s="192">
        <v>1.1278062176383223</v>
      </c>
      <c r="AJ27" s="192">
        <v>39722425.850877523</v>
      </c>
      <c r="AK27" s="192">
        <v>-3098885.1588527262</v>
      </c>
      <c r="AL27" s="192">
        <v>-10198947.744295545</v>
      </c>
      <c r="AM27" s="192">
        <v>5096850.2493618764</v>
      </c>
      <c r="AN27" s="192">
        <v>-4375931.5594446212</v>
      </c>
      <c r="AO27" s="192">
        <v>-4702045.2390961796</v>
      </c>
      <c r="AP27" s="192">
        <v>-2086999.6727157459</v>
      </c>
      <c r="AQ27" s="192">
        <v>2.4644185969931978</v>
      </c>
      <c r="AR27" s="192">
        <v>-2412626.7901961058</v>
      </c>
      <c r="AS27" s="192">
        <v>-2412626.7901961058</v>
      </c>
      <c r="AT27" s="221"/>
      <c r="AU27" s="235"/>
      <c r="AV27" s="235" t="s">
        <v>124</v>
      </c>
      <c r="AW27" s="191">
        <v>-18586425.120323811</v>
      </c>
      <c r="AX27" s="184"/>
      <c r="AY27" s="188"/>
      <c r="AZ27" s="190"/>
      <c r="BA27" s="190"/>
      <c r="BB27" s="190"/>
      <c r="BC27" s="190"/>
      <c r="BD27" s="190"/>
      <c r="BE27" s="190"/>
      <c r="BF27" s="184"/>
      <c r="BG27" s="184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</row>
    <row r="28" spans="1:72" x14ac:dyDescent="0.2">
      <c r="A28" s="212"/>
      <c r="B28" s="212"/>
      <c r="C28" s="212"/>
      <c r="D28" s="212"/>
      <c r="E28" s="212"/>
      <c r="F28" s="212"/>
      <c r="G28" s="212"/>
      <c r="H28" s="212"/>
      <c r="K28" s="160" t="str">
        <f>$K$7</f>
        <v>Avoided unserved energy</v>
      </c>
      <c r="L28" s="192">
        <v>7299523.1041077469</v>
      </c>
      <c r="M28" s="192">
        <v>-11513849.513774754</v>
      </c>
      <c r="N28" s="192">
        <v>15291770.282585343</v>
      </c>
      <c r="O28" s="192">
        <v>4707762.1244326513</v>
      </c>
      <c r="P28" s="192">
        <v>377667.12358162826</v>
      </c>
      <c r="Q28" s="192">
        <v>1888335.617908102</v>
      </c>
      <c r="S28" s="160" t="str">
        <f>$K$9</f>
        <v>Avoided fuel costs</v>
      </c>
      <c r="T28" s="192">
        <v>0</v>
      </c>
      <c r="U28" s="192">
        <v>6.3784971237182617</v>
      </c>
      <c r="V28" s="192">
        <v>-14277.799364089966</v>
      </c>
      <c r="W28" s="192">
        <v>4136766.2429466248</v>
      </c>
      <c r="X28" s="192">
        <v>3816533.4086680412</v>
      </c>
      <c r="Y28" s="192">
        <v>4371141.2164049149</v>
      </c>
      <c r="Z28" s="192">
        <v>3971259.0286507607</v>
      </c>
      <c r="AA28" s="192">
        <v>5000745.6730926037</v>
      </c>
      <c r="AB28" s="192">
        <v>5635142.3009204865</v>
      </c>
      <c r="AC28" s="192">
        <v>2581996.8371880054</v>
      </c>
      <c r="AD28" s="192">
        <v>-1138612.9213593006</v>
      </c>
      <c r="AE28" s="192">
        <v>-2048861.9607863426</v>
      </c>
      <c r="AF28" s="192">
        <v>-1098481.6542553902</v>
      </c>
      <c r="AG28" s="192">
        <v>1983316.0366888046</v>
      </c>
      <c r="AH28" s="192">
        <v>6214221.418763876</v>
      </c>
      <c r="AI28" s="192">
        <v>1640628.2097473145</v>
      </c>
      <c r="AJ28" s="192">
        <v>1283993.1550216675</v>
      </c>
      <c r="AK28" s="192">
        <v>-8639750.120787859</v>
      </c>
      <c r="AL28" s="192">
        <v>20874769.524077654</v>
      </c>
      <c r="AM28" s="192">
        <v>7424414.2505140305</v>
      </c>
      <c r="AN28" s="192">
        <v>15067318.070512772</v>
      </c>
      <c r="AO28" s="192">
        <v>9707590.2067189217</v>
      </c>
      <c r="AP28" s="192">
        <v>16554188.81522274</v>
      </c>
      <c r="AQ28" s="192">
        <v>15732574.488450527</v>
      </c>
      <c r="AR28" s="192">
        <v>18780430.158018589</v>
      </c>
      <c r="AS28" s="192">
        <v>18780430.158018589</v>
      </c>
      <c r="AT28" s="221"/>
      <c r="AU28" s="235"/>
      <c r="AV28" s="235" t="s">
        <v>94</v>
      </c>
      <c r="AW28" s="191">
        <v>37920845.762907878</v>
      </c>
      <c r="AX28" s="184"/>
      <c r="AY28" s="188"/>
      <c r="AZ28" s="237"/>
      <c r="BA28" s="237"/>
      <c r="BB28" s="237"/>
      <c r="BC28" s="237"/>
      <c r="BD28" s="237"/>
      <c r="BE28" s="237"/>
      <c r="BF28" s="184"/>
      <c r="BG28" s="184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</row>
    <row r="29" spans="1:72" x14ac:dyDescent="0.2">
      <c r="I29" s="156"/>
      <c r="K29" s="160" t="str">
        <f>$K$8</f>
        <v>Avoided REZ transmission capex</v>
      </c>
      <c r="L29" s="192">
        <v>36018541.134494737</v>
      </c>
      <c r="M29" s="192">
        <v>33625787.705896534</v>
      </c>
      <c r="N29" s="192">
        <v>-9779498.5142182764</v>
      </c>
      <c r="O29" s="192">
        <v>-5809946.4398162905</v>
      </c>
      <c r="P29" s="192">
        <v>8290857.8903845185</v>
      </c>
      <c r="Q29" s="192">
        <v>41454289.451922685</v>
      </c>
      <c r="S29" s="160" t="str">
        <f>$K$10</f>
        <v>Avoided voluntary load curtailment</v>
      </c>
      <c r="T29" s="192">
        <v>0</v>
      </c>
      <c r="U29" s="192">
        <v>4.4537768180016428</v>
      </c>
      <c r="V29" s="192">
        <v>4.6871750944992527</v>
      </c>
      <c r="W29" s="192">
        <v>-6771.661747812992</v>
      </c>
      <c r="X29" s="192">
        <v>102057.56445125164</v>
      </c>
      <c r="Y29" s="192">
        <v>-10732.136717053247</v>
      </c>
      <c r="Z29" s="192">
        <v>21248.307427863707</v>
      </c>
      <c r="AA29" s="192">
        <v>-28539.385210136417</v>
      </c>
      <c r="AB29" s="192">
        <v>107817.23312940239</v>
      </c>
      <c r="AC29" s="192">
        <v>-156173.08808886725</v>
      </c>
      <c r="AD29" s="192">
        <v>-38198.643783116713</v>
      </c>
      <c r="AE29" s="192">
        <v>7.6963725752466079</v>
      </c>
      <c r="AF29" s="192">
        <v>-11477.628593422589</v>
      </c>
      <c r="AG29" s="192">
        <v>-183136.88463288639</v>
      </c>
      <c r="AH29" s="192">
        <v>-43448.395588974468</v>
      </c>
      <c r="AI29" s="192">
        <v>-40320.8149850138</v>
      </c>
      <c r="AJ29" s="192">
        <v>191232.03414922627</v>
      </c>
      <c r="AK29" s="192">
        <v>-217415.9643622553</v>
      </c>
      <c r="AL29" s="192">
        <v>190779.4045493179</v>
      </c>
      <c r="AM29" s="192">
        <v>74370.842069489416</v>
      </c>
      <c r="AN29" s="192">
        <v>144094.42257724237</v>
      </c>
      <c r="AO29" s="192">
        <v>-231254.6904700473</v>
      </c>
      <c r="AP29" s="192">
        <v>-13488.547208023723</v>
      </c>
      <c r="AQ29" s="192">
        <v>138154.08170141373</v>
      </c>
      <c r="AR29" s="192">
        <v>-1283869.694011379</v>
      </c>
      <c r="AS29" s="192">
        <v>-1283869.694011379</v>
      </c>
      <c r="AT29" s="221"/>
      <c r="AU29" s="235"/>
      <c r="AV29" s="235" t="s">
        <v>125</v>
      </c>
      <c r="AW29" s="191">
        <v>-8967669.8390785642</v>
      </c>
      <c r="AX29" s="184"/>
      <c r="AY29" s="188"/>
      <c r="AZ29" s="187"/>
      <c r="BA29" s="187"/>
      <c r="BB29" s="187"/>
      <c r="BC29" s="187"/>
      <c r="BD29" s="187"/>
      <c r="BE29" s="187"/>
      <c r="BF29" s="184"/>
      <c r="BG29" s="184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173"/>
      <c r="BS29" s="173"/>
      <c r="BT29" s="173"/>
    </row>
    <row r="30" spans="1:72" x14ac:dyDescent="0.2">
      <c r="I30" s="156"/>
      <c r="K30" s="160" t="str">
        <f>$K$9</f>
        <v>Avoided fuel costs</v>
      </c>
      <c r="L30" s="192">
        <v>65664487.245310947</v>
      </c>
      <c r="M30" s="192">
        <v>51017867.559981771</v>
      </c>
      <c r="N30" s="192">
        <v>16361479.750452749</v>
      </c>
      <c r="O30" s="192">
        <v>13736378.287266115</v>
      </c>
      <c r="P30" s="192">
        <v>16034538.867813347</v>
      </c>
      <c r="Q30" s="192">
        <v>80172694.339068428</v>
      </c>
      <c r="S30" s="160" t="str">
        <f>$K$11</f>
        <v>Avoided generation/storage costs (excl. fuel costs)</v>
      </c>
      <c r="T30" s="192">
        <v>0</v>
      </c>
      <c r="U30" s="192">
        <v>1797.3452655076981</v>
      </c>
      <c r="V30" s="192">
        <v>2574.9081711769104</v>
      </c>
      <c r="W30" s="192">
        <v>122345079.59666204</v>
      </c>
      <c r="X30" s="192">
        <v>519667.30083954334</v>
      </c>
      <c r="Y30" s="192">
        <v>27441874.535659075</v>
      </c>
      <c r="Z30" s="192">
        <v>-6888121.786786437</v>
      </c>
      <c r="AA30" s="192">
        <v>355890.94253003597</v>
      </c>
      <c r="AB30" s="192">
        <v>-9792889.6689996719</v>
      </c>
      <c r="AC30" s="192">
        <v>138341699.22788119</v>
      </c>
      <c r="AD30" s="192">
        <v>13014604.349245787</v>
      </c>
      <c r="AE30" s="192">
        <v>-1032999.446819663</v>
      </c>
      <c r="AF30" s="192">
        <v>-792196.42645537853</v>
      </c>
      <c r="AG30" s="192">
        <v>-12475923.652536273</v>
      </c>
      <c r="AH30" s="192">
        <v>-9191783.4050531387</v>
      </c>
      <c r="AI30" s="192">
        <v>-946955.04391300678</v>
      </c>
      <c r="AJ30" s="192">
        <v>5936373.0418343544</v>
      </c>
      <c r="AK30" s="192">
        <v>109325081.4976697</v>
      </c>
      <c r="AL30" s="192">
        <v>-186479992.68874049</v>
      </c>
      <c r="AM30" s="192">
        <v>29638430.504450679</v>
      </c>
      <c r="AN30" s="192">
        <v>-10271056.579077244</v>
      </c>
      <c r="AO30" s="192">
        <v>29681362.527198076</v>
      </c>
      <c r="AP30" s="192">
        <v>-54603642.837647915</v>
      </c>
      <c r="AQ30" s="192">
        <v>-12649274.288841128</v>
      </c>
      <c r="AR30" s="192">
        <v>17184807.51367116</v>
      </c>
      <c r="AS30" s="192">
        <v>17184807.51367116</v>
      </c>
      <c r="AT30" s="221"/>
      <c r="AU30" s="235"/>
      <c r="AV30" s="235" t="s">
        <v>126</v>
      </c>
      <c r="AW30" s="191">
        <v>36815955.310906708</v>
      </c>
      <c r="AX30" s="184"/>
      <c r="AY30" s="188"/>
      <c r="AZ30" s="189"/>
      <c r="BA30" s="189"/>
      <c r="BB30" s="189"/>
      <c r="BC30" s="189"/>
      <c r="BD30" s="189"/>
      <c r="BE30" s="189"/>
      <c r="BF30" s="184"/>
      <c r="BG30" s="184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</row>
    <row r="31" spans="1:72" x14ac:dyDescent="0.2">
      <c r="I31" s="156"/>
      <c r="K31" s="160" t="str">
        <f>$K$10</f>
        <v>Avoided voluntary load curtailment</v>
      </c>
      <c r="L31" s="192">
        <v>29644042.495215897</v>
      </c>
      <c r="M31" s="192">
        <v>19474649.604612637</v>
      </c>
      <c r="N31" s="192">
        <v>6429592.8460859302</v>
      </c>
      <c r="O31" s="192">
        <v>1527971.1167833325</v>
      </c>
      <c r="P31" s="192">
        <v>6290359.4106375426</v>
      </c>
      <c r="Q31" s="192">
        <v>31451797.05318772</v>
      </c>
      <c r="AU31" s="235" t="s">
        <v>146</v>
      </c>
      <c r="AV31" s="235" t="s">
        <v>122</v>
      </c>
      <c r="AW31" s="191">
        <v>172584370.92333224</v>
      </c>
      <c r="AX31" s="184"/>
      <c r="AY31" s="188"/>
      <c r="AZ31" s="189"/>
      <c r="BA31" s="189"/>
      <c r="BB31" s="189"/>
      <c r="BC31" s="189"/>
      <c r="BD31" s="189"/>
      <c r="BE31" s="189"/>
      <c r="BF31" s="184"/>
      <c r="BG31" s="184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</row>
    <row r="32" spans="1:72" x14ac:dyDescent="0.2">
      <c r="I32" s="156"/>
      <c r="K32" s="160" t="str">
        <f>$K$11</f>
        <v>Avoided generation/storage costs (excl. fuel costs)</v>
      </c>
      <c r="L32" s="193">
        <v>242983383.85734767</v>
      </c>
      <c r="M32" s="193">
        <v>137823185.33062863</v>
      </c>
      <c r="N32" s="193">
        <v>66166138.968611911</v>
      </c>
      <c r="O32" s="193">
        <v>44635169.833881781</v>
      </c>
      <c r="P32" s="193">
        <v>61498424.079675011</v>
      </c>
      <c r="Q32" s="193">
        <v>307492120.39837444</v>
      </c>
      <c r="S32" s="159" t="str">
        <f>B12</f>
        <v>Fast change</v>
      </c>
      <c r="T32" s="162" t="str">
        <f>T$4</f>
        <v>2019-20</v>
      </c>
      <c r="U32" s="162" t="str">
        <f t="shared" ref="U32:AS32" si="6">U$4</f>
        <v>2020-21</v>
      </c>
      <c r="V32" s="162" t="str">
        <f t="shared" si="6"/>
        <v>2021-22</v>
      </c>
      <c r="W32" s="162" t="str">
        <f t="shared" si="6"/>
        <v>2022-23</v>
      </c>
      <c r="X32" s="162" t="str">
        <f t="shared" si="6"/>
        <v>2023-24</v>
      </c>
      <c r="Y32" s="162" t="str">
        <f t="shared" si="6"/>
        <v>2024-25</v>
      </c>
      <c r="Z32" s="162" t="str">
        <f t="shared" si="6"/>
        <v>2025-26</v>
      </c>
      <c r="AA32" s="162" t="str">
        <f t="shared" si="6"/>
        <v>2026-27</v>
      </c>
      <c r="AB32" s="162" t="str">
        <f t="shared" si="6"/>
        <v>2027-28</v>
      </c>
      <c r="AC32" s="162" t="str">
        <f t="shared" si="6"/>
        <v>2028-29</v>
      </c>
      <c r="AD32" s="162" t="str">
        <f t="shared" si="6"/>
        <v>2029-30</v>
      </c>
      <c r="AE32" s="162" t="str">
        <f t="shared" si="6"/>
        <v>2030-31</v>
      </c>
      <c r="AF32" s="162" t="str">
        <f t="shared" si="6"/>
        <v>2031-32</v>
      </c>
      <c r="AG32" s="162" t="str">
        <f t="shared" si="6"/>
        <v>2032-33</v>
      </c>
      <c r="AH32" s="162" t="str">
        <f t="shared" si="6"/>
        <v>2033-34</v>
      </c>
      <c r="AI32" s="162" t="str">
        <f t="shared" si="6"/>
        <v>2034-35</v>
      </c>
      <c r="AJ32" s="162" t="str">
        <f t="shared" si="6"/>
        <v>2035-36</v>
      </c>
      <c r="AK32" s="162" t="str">
        <f t="shared" si="6"/>
        <v>2036-37</v>
      </c>
      <c r="AL32" s="162" t="str">
        <f t="shared" si="6"/>
        <v>2037-38</v>
      </c>
      <c r="AM32" s="162" t="str">
        <f t="shared" si="6"/>
        <v>2038-39</v>
      </c>
      <c r="AN32" s="162" t="str">
        <f t="shared" si="6"/>
        <v>2039-40</v>
      </c>
      <c r="AO32" s="162" t="str">
        <f t="shared" si="6"/>
        <v>2040-41</v>
      </c>
      <c r="AP32" s="162" t="str">
        <f t="shared" si="6"/>
        <v>2041-42</v>
      </c>
      <c r="AQ32" s="162" t="str">
        <f t="shared" si="6"/>
        <v>2042-43</v>
      </c>
      <c r="AR32" s="162" t="str">
        <f t="shared" si="6"/>
        <v>2043-44</v>
      </c>
      <c r="AS32" s="162" t="str">
        <f t="shared" si="6"/>
        <v>2044-45</v>
      </c>
      <c r="AT32" s="172"/>
      <c r="AU32" s="235"/>
      <c r="AV32" s="235" t="s">
        <v>123</v>
      </c>
      <c r="AW32" s="191">
        <v>146366898.93404797</v>
      </c>
      <c r="AX32" s="184"/>
      <c r="AY32" s="188"/>
      <c r="AZ32" s="189"/>
      <c r="BA32" s="189"/>
      <c r="BB32" s="189"/>
      <c r="BC32" s="189"/>
      <c r="BD32" s="189"/>
      <c r="BE32" s="189"/>
      <c r="BF32" s="185"/>
      <c r="BG32" s="185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</row>
    <row r="33" spans="9:59" x14ac:dyDescent="0.2">
      <c r="I33" s="156"/>
      <c r="K33" s="160" t="s">
        <v>38</v>
      </c>
      <c r="L33" s="166">
        <f>_xlfn.AGGREGATE(9,6,L26:L32)</f>
        <v>220555161.02378339</v>
      </c>
      <c r="M33" s="166">
        <f t="shared" ref="M33:Q33" si="7">_xlfn.AGGREGATE(9,6,M26:M32)</f>
        <v>201003801.52974114</v>
      </c>
      <c r="N33" s="166">
        <f t="shared" si="7"/>
        <v>-37161494.321572259</v>
      </c>
      <c r="O33" s="166">
        <f t="shared" si="7"/>
        <v>17984540.8602379</v>
      </c>
      <c r="P33" s="166">
        <f t="shared" si="7"/>
        <v>3815864.6533648446</v>
      </c>
      <c r="Q33" s="166">
        <f t="shared" si="7"/>
        <v>96136547.222787499</v>
      </c>
      <c r="S33" s="160" t="str">
        <f>$K$7</f>
        <v>Avoided unserved energy</v>
      </c>
      <c r="T33" s="192">
        <v>0</v>
      </c>
      <c r="U33" s="192">
        <v>-0.23027434945106506</v>
      </c>
      <c r="V33" s="192">
        <v>-2923522.2401467022</v>
      </c>
      <c r="W33" s="192">
        <v>1041112.6741719767</v>
      </c>
      <c r="X33" s="192">
        <v>-5767489.2034858763</v>
      </c>
      <c r="Y33" s="192">
        <v>-14536424.472827613</v>
      </c>
      <c r="Z33" s="192">
        <v>2.6526295110519822</v>
      </c>
      <c r="AA33" s="192">
        <v>2.8089755919621116</v>
      </c>
      <c r="AB33" s="192">
        <v>9578.9468673411757</v>
      </c>
      <c r="AC33" s="192">
        <v>3.1517931149233749</v>
      </c>
      <c r="AD33" s="192">
        <v>-144390.61720175311</v>
      </c>
      <c r="AE33" s="192">
        <v>2783942.4561097994</v>
      </c>
      <c r="AF33" s="192">
        <v>-240722.49269722472</v>
      </c>
      <c r="AG33" s="192">
        <v>-2278992.575806275</v>
      </c>
      <c r="AH33" s="192">
        <v>-1410981.9048697427</v>
      </c>
      <c r="AI33" s="192">
        <v>37835.146756779228</v>
      </c>
      <c r="AJ33" s="192">
        <v>-8805307.2751640677</v>
      </c>
      <c r="AK33" s="192">
        <v>4.9829193044660043</v>
      </c>
      <c r="AL33" s="192">
        <v>5.2768457116853877</v>
      </c>
      <c r="AM33" s="192">
        <v>-775487.03392677382</v>
      </c>
      <c r="AN33" s="192">
        <v>-6200737.2100351667</v>
      </c>
      <c r="AO33" s="192">
        <v>-4409809.7583116619</v>
      </c>
      <c r="AP33" s="192">
        <v>-27313332.128387213</v>
      </c>
      <c r="AQ33" s="192">
        <v>-1037326.5340470336</v>
      </c>
      <c r="AR33" s="192">
        <v>2508564.3113239594</v>
      </c>
      <c r="AS33" s="192">
        <v>2508564.3113239594</v>
      </c>
      <c r="AT33" s="221"/>
      <c r="AU33" s="235"/>
      <c r="AV33" s="235" t="s">
        <v>124</v>
      </c>
      <c r="AW33" s="191">
        <v>-16878595.701776385</v>
      </c>
      <c r="AX33" s="184"/>
      <c r="AY33" s="188"/>
      <c r="AZ33" s="189"/>
      <c r="BA33" s="189"/>
      <c r="BB33" s="189"/>
      <c r="BC33" s="189"/>
      <c r="BD33" s="189"/>
      <c r="BE33" s="189"/>
      <c r="BF33" s="184"/>
      <c r="BG33" s="184"/>
    </row>
    <row r="34" spans="9:59" x14ac:dyDescent="0.2">
      <c r="I34" s="156"/>
      <c r="L34" s="169"/>
      <c r="M34" s="169"/>
      <c r="N34" s="169"/>
      <c r="O34" s="169"/>
      <c r="P34" s="169"/>
      <c r="Q34" s="169"/>
      <c r="S34" s="160" t="str">
        <f>$K$8</f>
        <v>Avoided REZ transmission capex</v>
      </c>
      <c r="T34" s="192">
        <v>0</v>
      </c>
      <c r="U34" s="192">
        <v>24.649339110506361</v>
      </c>
      <c r="V34" s="192">
        <v>0.93713581051064954</v>
      </c>
      <c r="W34" s="192">
        <v>-13710924.766235679</v>
      </c>
      <c r="X34" s="192">
        <v>22754234.517054036</v>
      </c>
      <c r="Y34" s="192">
        <v>9814287.4372463226</v>
      </c>
      <c r="Z34" s="192">
        <v>30134248.942956552</v>
      </c>
      <c r="AA34" s="192">
        <v>-955918.01319676638</v>
      </c>
      <c r="AB34" s="192">
        <v>-10437009.711336136</v>
      </c>
      <c r="AC34" s="192">
        <v>13987817.233633399</v>
      </c>
      <c r="AD34" s="192">
        <v>-9960360.2131947875</v>
      </c>
      <c r="AE34" s="192">
        <v>3358066.39543432</v>
      </c>
      <c r="AF34" s="192">
        <v>8495664.087978065</v>
      </c>
      <c r="AG34" s="192">
        <v>11510409.546099663</v>
      </c>
      <c r="AH34" s="192">
        <v>-8704908.9032880031</v>
      </c>
      <c r="AI34" s="192">
        <v>32.087018089068053</v>
      </c>
      <c r="AJ34" s="192">
        <v>-11527433.5469172</v>
      </c>
      <c r="AK34" s="192">
        <v>-11673092.79727</v>
      </c>
      <c r="AL34" s="192">
        <v>-4435511.2596069872</v>
      </c>
      <c r="AM34" s="192">
        <v>-7468750.6199106872</v>
      </c>
      <c r="AN34" s="192">
        <v>15774311.117652774</v>
      </c>
      <c r="AO34" s="192">
        <v>11378950.624599338</v>
      </c>
      <c r="AP34" s="192">
        <v>-13230612.21023488</v>
      </c>
      <c r="AQ34" s="192">
        <v>0</v>
      </c>
      <c r="AR34" s="192">
        <v>30263090.515630364</v>
      </c>
      <c r="AS34" s="192">
        <v>30263090.515630364</v>
      </c>
      <c r="AT34" s="221"/>
      <c r="AU34" s="235"/>
      <c r="AV34" s="235" t="s">
        <v>94</v>
      </c>
      <c r="AW34" s="191">
        <v>38272540.429495521</v>
      </c>
      <c r="AX34" s="184"/>
      <c r="AY34" s="188"/>
      <c r="AZ34" s="189"/>
      <c r="BA34" s="189"/>
      <c r="BB34" s="189"/>
      <c r="BC34" s="189"/>
      <c r="BD34" s="189"/>
      <c r="BE34" s="189"/>
      <c r="BF34" s="184"/>
      <c r="BG34" s="184"/>
    </row>
    <row r="35" spans="9:59" x14ac:dyDescent="0.2">
      <c r="I35" s="156"/>
      <c r="K35" s="159"/>
      <c r="L35" s="236" t="s">
        <v>128</v>
      </c>
      <c r="M35" s="236"/>
      <c r="N35" s="236"/>
      <c r="O35" s="236"/>
      <c r="P35" s="236" t="s">
        <v>127</v>
      </c>
      <c r="Q35" s="236"/>
      <c r="S35" s="160" t="str">
        <f>$K$9</f>
        <v>Avoided fuel costs</v>
      </c>
      <c r="T35" s="192">
        <v>0</v>
      </c>
      <c r="U35" s="192">
        <v>9.6967425346374512</v>
      </c>
      <c r="V35" s="192">
        <v>-76702.592887878418</v>
      </c>
      <c r="W35" s="192">
        <v>7981636.1791238785</v>
      </c>
      <c r="X35" s="192">
        <v>-2514013.3930492401</v>
      </c>
      <c r="Y35" s="192">
        <v>-4755971.4799814224</v>
      </c>
      <c r="Z35" s="192">
        <v>117183.14125776291</v>
      </c>
      <c r="AA35" s="192">
        <v>1916067.2872414589</v>
      </c>
      <c r="AB35" s="192">
        <v>-2379026.2962965965</v>
      </c>
      <c r="AC35" s="192">
        <v>2886929.2904901505</v>
      </c>
      <c r="AD35" s="192">
        <v>2475077.1171815395</v>
      </c>
      <c r="AE35" s="192">
        <v>7139360.7414131165</v>
      </c>
      <c r="AF35" s="192">
        <v>8628167.8644979</v>
      </c>
      <c r="AG35" s="192">
        <v>5283680.9216117859</v>
      </c>
      <c r="AH35" s="192">
        <v>11525103.16600132</v>
      </c>
      <c r="AI35" s="192">
        <v>-1981752.8312866688</v>
      </c>
      <c r="AJ35" s="192">
        <v>1634668.7414126396</v>
      </c>
      <c r="AK35" s="192">
        <v>10961899.350954056</v>
      </c>
      <c r="AL35" s="192">
        <v>14444552.758528471</v>
      </c>
      <c r="AM35" s="192">
        <v>18302124.401397705</v>
      </c>
      <c r="AN35" s="192">
        <v>37145422.398589849</v>
      </c>
      <c r="AO35" s="192">
        <v>39886703.576793432</v>
      </c>
      <c r="AP35" s="192">
        <v>39932005.48454833</v>
      </c>
      <c r="AQ35" s="192">
        <v>21681627.190944195</v>
      </c>
      <c r="AR35" s="192">
        <v>55219627.940038204</v>
      </c>
      <c r="AS35" s="192">
        <v>55219627.940038204</v>
      </c>
      <c r="AT35" s="221"/>
      <c r="AU35" s="235"/>
      <c r="AV35" s="235" t="s">
        <v>125</v>
      </c>
      <c r="AW35" s="191">
        <v>-246299.59321111068</v>
      </c>
      <c r="AX35" s="184"/>
      <c r="AY35" s="188"/>
      <c r="AZ35" s="184"/>
      <c r="BA35" s="184"/>
      <c r="BB35" s="184"/>
      <c r="BC35" s="184"/>
      <c r="BD35" s="184"/>
      <c r="BE35" s="184"/>
      <c r="BF35" s="184"/>
      <c r="BG35" s="184"/>
    </row>
    <row r="36" spans="9:59" x14ac:dyDescent="0.2">
      <c r="K36" s="159" t="s">
        <v>99</v>
      </c>
      <c r="L36" s="162" t="str">
        <f>$C$4</f>
        <v>Option 1A</v>
      </c>
      <c r="M36" s="162" t="str">
        <f>$D$4</f>
        <v>Option 1B</v>
      </c>
      <c r="N36" s="162" t="str">
        <f>$E$4</f>
        <v>Option 1C</v>
      </c>
      <c r="O36" s="162" t="str">
        <f>$F$4</f>
        <v>Option 1D</v>
      </c>
      <c r="P36" s="162" t="str">
        <f>$G$4</f>
        <v>Option 5A</v>
      </c>
      <c r="Q36" s="162" t="str">
        <f>$H$4</f>
        <v>Option 5B</v>
      </c>
      <c r="S36" s="160" t="str">
        <f>$K$10</f>
        <v>Avoided voluntary load curtailment</v>
      </c>
      <c r="T36" s="192">
        <v>0</v>
      </c>
      <c r="U36" s="192">
        <v>2.2028702099341899</v>
      </c>
      <c r="V36" s="192">
        <v>2.2700682245194912</v>
      </c>
      <c r="W36" s="192">
        <v>3403.5193199389614</v>
      </c>
      <c r="X36" s="192">
        <v>-31401.846672209096</v>
      </c>
      <c r="Y36" s="192">
        <v>-126445.90828829585</v>
      </c>
      <c r="Z36" s="192">
        <v>2.9999074081935371</v>
      </c>
      <c r="AA36" s="192">
        <v>-146280.63408732481</v>
      </c>
      <c r="AB36" s="192">
        <v>-4145.8526516810525</v>
      </c>
      <c r="AC36" s="192">
        <v>4723.5360082630068</v>
      </c>
      <c r="AD36" s="192">
        <v>2812.866883081384</v>
      </c>
      <c r="AE36" s="192">
        <v>462107.91683070478</v>
      </c>
      <c r="AF36" s="192">
        <v>769985.55845585745</v>
      </c>
      <c r="AG36" s="192">
        <v>247240.81106600724</v>
      </c>
      <c r="AH36" s="192">
        <v>363455.86469710944</v>
      </c>
      <c r="AI36" s="192">
        <v>211135.56812787941</v>
      </c>
      <c r="AJ36" s="192">
        <v>252589.6870486578</v>
      </c>
      <c r="AK36" s="192">
        <v>178093.65672674641</v>
      </c>
      <c r="AL36" s="192">
        <v>-107165.37204263848</v>
      </c>
      <c r="AM36" s="192">
        <v>74060.352595836855</v>
      </c>
      <c r="AN36" s="192">
        <v>-1912107.740170721</v>
      </c>
      <c r="AO36" s="192">
        <v>-289932.50170316733</v>
      </c>
      <c r="AP36" s="192">
        <v>-735410.12512925453</v>
      </c>
      <c r="AQ36" s="192">
        <v>-815669.31305370294</v>
      </c>
      <c r="AR36" s="192">
        <v>-2816668.8724263012</v>
      </c>
      <c r="AS36" s="192">
        <v>-2816668.8724263012</v>
      </c>
      <c r="AT36" s="221"/>
      <c r="AU36" s="235"/>
      <c r="AV36" s="235" t="s">
        <v>126</v>
      </c>
      <c r="AW36" s="191">
        <v>87076302.921990171</v>
      </c>
      <c r="AX36" s="184"/>
      <c r="AY36" s="188"/>
      <c r="AZ36" s="187"/>
      <c r="BA36" s="187"/>
      <c r="BB36" s="187"/>
      <c r="BC36" s="187"/>
      <c r="BD36" s="187"/>
      <c r="BE36" s="187"/>
      <c r="BF36" s="184"/>
      <c r="BG36" s="184"/>
    </row>
    <row r="37" spans="9:59" x14ac:dyDescent="0.2">
      <c r="K37" s="160" t="str">
        <f>$K$5</f>
        <v>Transmission capex</v>
      </c>
      <c r="L37" s="192">
        <v>-138464937.18402365</v>
      </c>
      <c r="M37" s="192">
        <v>-25715467.479306318</v>
      </c>
      <c r="N37" s="192">
        <v>-112749469.70471734</v>
      </c>
      <c r="O37" s="192">
        <v>-35831399.270566955</v>
      </c>
      <c r="P37" s="192">
        <v>-79988839.483082816</v>
      </c>
      <c r="Q37" s="192">
        <v>-332809646.37239742</v>
      </c>
      <c r="S37" s="160" t="str">
        <f>$K$11</f>
        <v>Avoided generation/storage costs (excl. fuel costs)</v>
      </c>
      <c r="T37" s="192">
        <v>0</v>
      </c>
      <c r="U37" s="192">
        <v>838.38529396057129</v>
      </c>
      <c r="V37" s="192">
        <v>33068021.091655254</v>
      </c>
      <c r="W37" s="192">
        <v>155991253.96483469</v>
      </c>
      <c r="X37" s="192">
        <v>177069264.10939312</v>
      </c>
      <c r="Y37" s="192">
        <v>-50123297.953384399</v>
      </c>
      <c r="Z37" s="192">
        <v>-62234486.794185638</v>
      </c>
      <c r="AA37" s="192">
        <v>-33441894.309972286</v>
      </c>
      <c r="AB37" s="192">
        <v>53928752.088571548</v>
      </c>
      <c r="AC37" s="192">
        <v>-65316424.089651108</v>
      </c>
      <c r="AD37" s="192">
        <v>-32735159.609905243</v>
      </c>
      <c r="AE37" s="192">
        <v>-87755397.920654297</v>
      </c>
      <c r="AF37" s="192">
        <v>170114377.66308594</v>
      </c>
      <c r="AG37" s="192">
        <v>30981252.530200481</v>
      </c>
      <c r="AH37" s="192">
        <v>-41296755.780452728</v>
      </c>
      <c r="AI37" s="192">
        <v>84777710.199999809</v>
      </c>
      <c r="AJ37" s="192">
        <v>160563356.61564636</v>
      </c>
      <c r="AK37" s="192">
        <v>-99343466.664601326</v>
      </c>
      <c r="AL37" s="192">
        <v>-15652538.650659561</v>
      </c>
      <c r="AM37" s="192">
        <v>-37578989.409358501</v>
      </c>
      <c r="AN37" s="192">
        <v>158951888.06365108</v>
      </c>
      <c r="AO37" s="192">
        <v>18002348.82419014</v>
      </c>
      <c r="AP37" s="192">
        <v>136112918.91692781</v>
      </c>
      <c r="AQ37" s="192">
        <v>-13322693.364372015</v>
      </c>
      <c r="AR37" s="192">
        <v>-28231737.227775097</v>
      </c>
      <c r="AS37" s="192">
        <v>-28231737.227775097</v>
      </c>
      <c r="AT37" s="221"/>
      <c r="AU37" s="235" t="s">
        <v>147</v>
      </c>
      <c r="AV37" s="235" t="s">
        <v>122</v>
      </c>
      <c r="AW37" s="191">
        <v>265084528.66510379</v>
      </c>
      <c r="AX37" s="184"/>
      <c r="AY37" s="188"/>
      <c r="AZ37" s="189"/>
      <c r="BA37" s="189"/>
      <c r="BB37" s="189"/>
      <c r="BC37" s="189"/>
      <c r="BD37" s="189"/>
      <c r="BE37" s="189"/>
      <c r="BF37" s="184"/>
      <c r="BG37" s="184"/>
    </row>
    <row r="38" spans="9:59" x14ac:dyDescent="0.2">
      <c r="K38" s="160" t="str">
        <f>$K$6</f>
        <v>Transmission opex</v>
      </c>
      <c r="L38" s="192">
        <v>-22589879.628669944</v>
      </c>
      <c r="M38" s="192">
        <v>-3708371.6782973711</v>
      </c>
      <c r="N38" s="192">
        <v>-18881507.95037258</v>
      </c>
      <c r="O38" s="192">
        <v>-4981394.7917427355</v>
      </c>
      <c r="P38" s="192">
        <v>-8687143.2356444057</v>
      </c>
      <c r="Q38" s="192">
        <v>-33513043.265276469</v>
      </c>
      <c r="AU38" s="235"/>
      <c r="AV38" s="235" t="s">
        <v>123</v>
      </c>
      <c r="AW38" s="191">
        <v>228770500.83489424</v>
      </c>
      <c r="AX38" s="190"/>
      <c r="AY38" s="188"/>
      <c r="AZ38" s="189"/>
      <c r="BA38" s="189"/>
      <c r="BB38" s="189"/>
      <c r="BC38" s="189"/>
      <c r="BD38" s="189"/>
      <c r="BE38" s="189"/>
      <c r="BF38" s="184"/>
      <c r="BG38" s="184"/>
    </row>
    <row r="39" spans="9:59" x14ac:dyDescent="0.2">
      <c r="K39" s="160" t="str">
        <f>$K$7</f>
        <v>Avoided unserved energy</v>
      </c>
      <c r="L39" s="192">
        <v>6242820.8903011251</v>
      </c>
      <c r="M39" s="192">
        <v>1120445.0718851662</v>
      </c>
      <c r="N39" s="192">
        <v>4284391.1723039383</v>
      </c>
      <c r="O39" s="192">
        <v>1405.4086079788367</v>
      </c>
      <c r="P39" s="192">
        <v>3270922.5924183</v>
      </c>
      <c r="Q39" s="192">
        <v>16354612.962091543</v>
      </c>
      <c r="AU39" s="235"/>
      <c r="AV39" s="235" t="s">
        <v>124</v>
      </c>
      <c r="AW39" s="191">
        <v>-16838443.267585576</v>
      </c>
      <c r="AX39" s="184"/>
      <c r="AY39" s="188"/>
      <c r="AZ39" s="189"/>
      <c r="BA39" s="189"/>
      <c r="BB39" s="189"/>
      <c r="BC39" s="189"/>
      <c r="BD39" s="189"/>
      <c r="BE39" s="189"/>
      <c r="BF39" s="184"/>
      <c r="BG39" s="184"/>
    </row>
    <row r="40" spans="9:59" x14ac:dyDescent="0.2">
      <c r="K40" s="160" t="str">
        <f>$K$8</f>
        <v>Avoided REZ transmission capex</v>
      </c>
      <c r="L40" s="192">
        <v>8579140.8015062772</v>
      </c>
      <c r="M40" s="192">
        <v>2673578.8789907745</v>
      </c>
      <c r="N40" s="192">
        <v>786464.48198252835</v>
      </c>
      <c r="O40" s="192">
        <v>642443.48020660563</v>
      </c>
      <c r="P40" s="192">
        <v>2263218.8874178226</v>
      </c>
      <c r="Q40" s="192">
        <v>11316094.437089093</v>
      </c>
      <c r="S40" s="158" t="s">
        <v>138</v>
      </c>
      <c r="T40" s="158"/>
      <c r="U40" s="158"/>
      <c r="V40" s="158" t="s">
        <v>122</v>
      </c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74"/>
      <c r="AU40" s="235"/>
      <c r="AV40" s="235" t="s">
        <v>94</v>
      </c>
      <c r="AW40" s="191">
        <v>35162987.368694611</v>
      </c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</row>
    <row r="41" spans="9:59" x14ac:dyDescent="0.2">
      <c r="K41" s="160" t="str">
        <f>$K$9</f>
        <v>Avoided fuel costs</v>
      </c>
      <c r="L41" s="192">
        <v>54169237.291567065</v>
      </c>
      <c r="M41" s="192">
        <v>88847527.030822814</v>
      </c>
      <c r="N41" s="192">
        <v>-37791152.67978359</v>
      </c>
      <c r="O41" s="192">
        <v>-25239334.787930351</v>
      </c>
      <c r="P41" s="192">
        <v>6204399.913922701</v>
      </c>
      <c r="Q41" s="192">
        <v>31021999.569614872</v>
      </c>
      <c r="S41" s="159" t="s">
        <v>131</v>
      </c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222"/>
      <c r="AU41" s="235"/>
      <c r="AV41" s="235" t="s">
        <v>125</v>
      </c>
      <c r="AW41" s="191">
        <v>13564465.608480189</v>
      </c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</row>
    <row r="42" spans="9:59" x14ac:dyDescent="0.2">
      <c r="K42" s="160" t="str">
        <f>$K$10</f>
        <v>Avoided voluntary load curtailment</v>
      </c>
      <c r="L42" s="192">
        <v>-338288.79886824923</v>
      </c>
      <c r="M42" s="192">
        <v>-413813.06100965309</v>
      </c>
      <c r="N42" s="192">
        <v>212444.3609219674</v>
      </c>
      <c r="O42" s="192">
        <v>-188924.26974217204</v>
      </c>
      <c r="P42" s="192">
        <v>-133999.84553816641</v>
      </c>
      <c r="Q42" s="192">
        <v>-669999.22769083246</v>
      </c>
      <c r="AU42" s="235"/>
      <c r="AV42" s="235" t="s">
        <v>126</v>
      </c>
      <c r="AW42" s="191">
        <v>164446836.71496478</v>
      </c>
    </row>
    <row r="43" spans="9:59" x14ac:dyDescent="0.2">
      <c r="K43" s="160" t="str">
        <f>$K$11</f>
        <v>Avoided generation/storage costs (excl. fuel costs)</v>
      </c>
      <c r="L43" s="193">
        <v>171244375.91349456</v>
      </c>
      <c r="M43" s="193">
        <v>-21510624.410984173</v>
      </c>
      <c r="N43" s="193">
        <v>191859454.44817239</v>
      </c>
      <c r="O43" s="193">
        <v>139515493.22842842</v>
      </c>
      <c r="P43" s="193">
        <v>75912623.163734883</v>
      </c>
      <c r="Q43" s="193">
        <v>379563115.81867456</v>
      </c>
      <c r="S43" s="159" t="str">
        <f>S11</f>
        <v>Neutral</v>
      </c>
      <c r="T43" s="162" t="str">
        <f>T$4</f>
        <v>2019-20</v>
      </c>
      <c r="U43" s="162" t="str">
        <f t="shared" ref="U43:AS43" si="8">U$4</f>
        <v>2020-21</v>
      </c>
      <c r="V43" s="162" t="str">
        <f t="shared" si="8"/>
        <v>2021-22</v>
      </c>
      <c r="W43" s="162" t="str">
        <f t="shared" si="8"/>
        <v>2022-23</v>
      </c>
      <c r="X43" s="162" t="str">
        <f t="shared" si="8"/>
        <v>2023-24</v>
      </c>
      <c r="Y43" s="162" t="str">
        <f t="shared" si="8"/>
        <v>2024-25</v>
      </c>
      <c r="Z43" s="162" t="str">
        <f t="shared" si="8"/>
        <v>2025-26</v>
      </c>
      <c r="AA43" s="162" t="str">
        <f t="shared" si="8"/>
        <v>2026-27</v>
      </c>
      <c r="AB43" s="162" t="str">
        <f t="shared" si="8"/>
        <v>2027-28</v>
      </c>
      <c r="AC43" s="162" t="str">
        <f t="shared" si="8"/>
        <v>2028-29</v>
      </c>
      <c r="AD43" s="162" t="str">
        <f t="shared" si="8"/>
        <v>2029-30</v>
      </c>
      <c r="AE43" s="162" t="str">
        <f t="shared" si="8"/>
        <v>2030-31</v>
      </c>
      <c r="AF43" s="162" t="str">
        <f t="shared" si="8"/>
        <v>2031-32</v>
      </c>
      <c r="AG43" s="162" t="str">
        <f t="shared" si="8"/>
        <v>2032-33</v>
      </c>
      <c r="AH43" s="162" t="str">
        <f t="shared" si="8"/>
        <v>2033-34</v>
      </c>
      <c r="AI43" s="162" t="str">
        <f t="shared" si="8"/>
        <v>2034-35</v>
      </c>
      <c r="AJ43" s="162" t="str">
        <f t="shared" si="8"/>
        <v>2035-36</v>
      </c>
      <c r="AK43" s="162" t="str">
        <f t="shared" si="8"/>
        <v>2036-37</v>
      </c>
      <c r="AL43" s="162" t="str">
        <f t="shared" si="8"/>
        <v>2037-38</v>
      </c>
      <c r="AM43" s="162" t="str">
        <f t="shared" si="8"/>
        <v>2038-39</v>
      </c>
      <c r="AN43" s="162" t="str">
        <f t="shared" si="8"/>
        <v>2039-40</v>
      </c>
      <c r="AO43" s="162" t="str">
        <f t="shared" si="8"/>
        <v>2040-41</v>
      </c>
      <c r="AP43" s="162" t="str">
        <f t="shared" si="8"/>
        <v>2041-42</v>
      </c>
      <c r="AQ43" s="162" t="str">
        <f t="shared" si="8"/>
        <v>2042-43</v>
      </c>
      <c r="AR43" s="162" t="str">
        <f t="shared" si="8"/>
        <v>2043-44</v>
      </c>
      <c r="AS43" s="162" t="str">
        <f t="shared" si="8"/>
        <v>2044-45</v>
      </c>
      <c r="AT43" s="172"/>
    </row>
    <row r="44" spans="9:59" x14ac:dyDescent="0.2">
      <c r="K44" s="160" t="s">
        <v>38</v>
      </c>
      <c r="L44" s="166">
        <f>_xlfn.AGGREGATE(9,6,L37:L43)</f>
        <v>78842469.285307184</v>
      </c>
      <c r="M44" s="166">
        <f t="shared" ref="M44:Q44" si="9">_xlfn.AGGREGATE(9,6,M37:M43)</f>
        <v>41293274.352101237</v>
      </c>
      <c r="N44" s="166">
        <f t="shared" si="9"/>
        <v>27720624.128507346</v>
      </c>
      <c r="O44" s="166">
        <f t="shared" si="9"/>
        <v>73918288.997260809</v>
      </c>
      <c r="P44" s="166">
        <f t="shared" si="9"/>
        <v>-1158818.0067716837</v>
      </c>
      <c r="Q44" s="166">
        <f t="shared" si="9"/>
        <v>71263133.922105372</v>
      </c>
      <c r="S44" s="160" t="str">
        <f>$K$7</f>
        <v>Avoided unserved energy</v>
      </c>
      <c r="T44" s="161">
        <f>T12</f>
        <v>0</v>
      </c>
      <c r="U44" s="161">
        <f>T44+U12</f>
        <v>0.3782143039861694</v>
      </c>
      <c r="V44" s="161">
        <f t="shared" ref="V44:AS48" si="10">U44+V12</f>
        <v>-0.48158434906508774</v>
      </c>
      <c r="W44" s="161">
        <f t="shared" si="10"/>
        <v>-523997.22401733079</v>
      </c>
      <c r="X44" s="161">
        <f t="shared" si="10"/>
        <v>9589917.3264847975</v>
      </c>
      <c r="Y44" s="161">
        <f t="shared" si="10"/>
        <v>14797290.007068602</v>
      </c>
      <c r="Z44" s="161">
        <f t="shared" si="10"/>
        <v>14797291.038313929</v>
      </c>
      <c r="AA44" s="161">
        <f t="shared" si="10"/>
        <v>14797292.130383659</v>
      </c>
      <c r="AB44" s="161">
        <f t="shared" si="10"/>
        <v>14797293.290188929</v>
      </c>
      <c r="AC44" s="161">
        <f t="shared" si="10"/>
        <v>11315816.419487091</v>
      </c>
      <c r="AD44" s="161">
        <f t="shared" si="10"/>
        <v>10770068.01455556</v>
      </c>
      <c r="AE44" s="161">
        <f t="shared" si="10"/>
        <v>11559444.121517917</v>
      </c>
      <c r="AF44" s="161">
        <f t="shared" si="10"/>
        <v>11345846.603444064</v>
      </c>
      <c r="AG44" s="161">
        <f t="shared" si="10"/>
        <v>11529676.005658153</v>
      </c>
      <c r="AH44" s="161">
        <f t="shared" si="10"/>
        <v>8457924.8209838122</v>
      </c>
      <c r="AI44" s="161">
        <f t="shared" si="10"/>
        <v>9466152.5942473058</v>
      </c>
      <c r="AJ44" s="161">
        <f t="shared" si="10"/>
        <v>11652893.739266688</v>
      </c>
      <c r="AK44" s="161">
        <f t="shared" si="10"/>
        <v>11652895.6699003</v>
      </c>
      <c r="AL44" s="161">
        <f t="shared" si="10"/>
        <v>11652897.711891998</v>
      </c>
      <c r="AM44" s="161">
        <f t="shared" si="10"/>
        <v>11652856.974867534</v>
      </c>
      <c r="AN44" s="161">
        <f t="shared" si="10"/>
        <v>19487413.350480821</v>
      </c>
      <c r="AO44" s="161">
        <f t="shared" si="10"/>
        <v>8388052.2740790322</v>
      </c>
      <c r="AP44" s="161">
        <f t="shared" si="10"/>
        <v>5754436.8253863156</v>
      </c>
      <c r="AQ44" s="161">
        <f t="shared" si="10"/>
        <v>4858422.1322178692</v>
      </c>
      <c r="AR44" s="161">
        <f t="shared" si="10"/>
        <v>1797748.9905139208</v>
      </c>
      <c r="AS44" s="161">
        <f t="shared" si="10"/>
        <v>-1262924.1511900276</v>
      </c>
      <c r="AT44" s="220"/>
    </row>
    <row r="45" spans="9:59" x14ac:dyDescent="0.2">
      <c r="L45" s="169"/>
      <c r="M45" s="169"/>
      <c r="N45" s="169"/>
      <c r="O45" s="169"/>
      <c r="P45" s="169"/>
      <c r="Q45" s="169"/>
      <c r="S45" s="160" t="str">
        <f>$K$8</f>
        <v>Avoided REZ transmission capex</v>
      </c>
      <c r="T45" s="161">
        <f t="shared" ref="T45:T48" si="11">T13</f>
        <v>0</v>
      </c>
      <c r="U45" s="161">
        <f t="shared" ref="U45:AJ48" si="12">T45+U13</f>
        <v>9.2285071590239092</v>
      </c>
      <c r="V45" s="161">
        <f t="shared" si="12"/>
        <v>9.9972481480253421</v>
      </c>
      <c r="W45" s="161">
        <f t="shared" si="12"/>
        <v>10.809912517343513</v>
      </c>
      <c r="X45" s="161">
        <f t="shared" si="12"/>
        <v>12.479886851654625</v>
      </c>
      <c r="Y45" s="161">
        <f t="shared" si="12"/>
        <v>13.646185170329989</v>
      </c>
      <c r="Z45" s="161">
        <f t="shared" si="12"/>
        <v>14.842750089097265</v>
      </c>
      <c r="AA45" s="161">
        <f t="shared" si="12"/>
        <v>16.210610393154479</v>
      </c>
      <c r="AB45" s="161">
        <f t="shared" si="12"/>
        <v>18.32956707161426</v>
      </c>
      <c r="AC45" s="161">
        <f t="shared" si="12"/>
        <v>34700214.289463848</v>
      </c>
      <c r="AD45" s="161">
        <f t="shared" si="12"/>
        <v>34700218.382798195</v>
      </c>
      <c r="AE45" s="161">
        <f t="shared" si="12"/>
        <v>34700218.749237381</v>
      </c>
      <c r="AF45" s="161">
        <f t="shared" si="12"/>
        <v>38597847.281660996</v>
      </c>
      <c r="AG45" s="161">
        <f t="shared" si="12"/>
        <v>29039005.256809257</v>
      </c>
      <c r="AH45" s="161">
        <f t="shared" si="12"/>
        <v>37688577.561987482</v>
      </c>
      <c r="AI45" s="161">
        <f t="shared" si="12"/>
        <v>37688577.561987482</v>
      </c>
      <c r="AJ45" s="161">
        <f t="shared" si="12"/>
        <v>72732207.966197342</v>
      </c>
      <c r="AK45" s="161">
        <f t="shared" si="10"/>
        <v>70014876.001467779</v>
      </c>
      <c r="AL45" s="161">
        <f t="shared" si="10"/>
        <v>70014876.363197222</v>
      </c>
      <c r="AM45" s="161">
        <f t="shared" si="10"/>
        <v>70014877.934958369</v>
      </c>
      <c r="AN45" s="161">
        <f t="shared" si="10"/>
        <v>57018746.790804625</v>
      </c>
      <c r="AO45" s="161">
        <f t="shared" si="10"/>
        <v>52477842.183285333</v>
      </c>
      <c r="AP45" s="161">
        <f t="shared" si="10"/>
        <v>52477845.444104545</v>
      </c>
      <c r="AQ45" s="161">
        <f t="shared" si="10"/>
        <v>65429302.274518088</v>
      </c>
      <c r="AR45" s="161">
        <f t="shared" si="10"/>
        <v>29179567.066579357</v>
      </c>
      <c r="AS45" s="161">
        <f t="shared" si="10"/>
        <v>-7070168.1413593739</v>
      </c>
      <c r="AT45" s="220"/>
    </row>
    <row r="46" spans="9:59" x14ac:dyDescent="0.2">
      <c r="K46" s="159"/>
      <c r="L46" s="236" t="s">
        <v>128</v>
      </c>
      <c r="M46" s="236"/>
      <c r="N46" s="236"/>
      <c r="O46" s="236"/>
      <c r="P46" s="236" t="s">
        <v>127</v>
      </c>
      <c r="Q46" s="236"/>
      <c r="S46" s="160" t="str">
        <f>$K$9</f>
        <v>Avoided fuel costs</v>
      </c>
      <c r="T46" s="161">
        <f t="shared" si="11"/>
        <v>0</v>
      </c>
      <c r="U46" s="161">
        <f t="shared" si="12"/>
        <v>-20.264466285705566</v>
      </c>
      <c r="V46" s="161">
        <f t="shared" si="10"/>
        <v>37979.823880672455</v>
      </c>
      <c r="W46" s="161">
        <f t="shared" si="10"/>
        <v>5649098.3174090385</v>
      </c>
      <c r="X46" s="161">
        <f t="shared" si="10"/>
        <v>11913553.655496597</v>
      </c>
      <c r="Y46" s="161">
        <f t="shared" si="10"/>
        <v>18676263.013375282</v>
      </c>
      <c r="Z46" s="161">
        <f t="shared" si="10"/>
        <v>28829498.334206581</v>
      </c>
      <c r="AA46" s="161">
        <f t="shared" si="10"/>
        <v>36267259.739733696</v>
      </c>
      <c r="AB46" s="161">
        <f t="shared" si="10"/>
        <v>45129287.584327698</v>
      </c>
      <c r="AC46" s="161">
        <f t="shared" si="10"/>
        <v>40965836.424769878</v>
      </c>
      <c r="AD46" s="161">
        <f t="shared" si="10"/>
        <v>30031566.549343109</v>
      </c>
      <c r="AE46" s="161">
        <f t="shared" si="10"/>
        <v>16806829.024018764</v>
      </c>
      <c r="AF46" s="161">
        <f t="shared" si="10"/>
        <v>7850639.1227741241</v>
      </c>
      <c r="AG46" s="161">
        <f t="shared" si="10"/>
        <v>19925394.807961941</v>
      </c>
      <c r="AH46" s="161">
        <f t="shared" si="10"/>
        <v>22003623.238903522</v>
      </c>
      <c r="AI46" s="161">
        <f t="shared" si="10"/>
        <v>3083613.7851996422</v>
      </c>
      <c r="AJ46" s="161">
        <f t="shared" si="10"/>
        <v>-8684311.7830610275</v>
      </c>
      <c r="AK46" s="161">
        <f t="shared" si="10"/>
        <v>9930424.4980444908</v>
      </c>
      <c r="AL46" s="161">
        <f t="shared" si="10"/>
        <v>23723605.697541237</v>
      </c>
      <c r="AM46" s="161">
        <f t="shared" si="10"/>
        <v>31129880.225553513</v>
      </c>
      <c r="AN46" s="161">
        <f t="shared" si="10"/>
        <v>43217829.460091591</v>
      </c>
      <c r="AO46" s="161">
        <f t="shared" si="10"/>
        <v>70174905.792274475</v>
      </c>
      <c r="AP46" s="161">
        <f t="shared" si="10"/>
        <v>82151494.23350811</v>
      </c>
      <c r="AQ46" s="161">
        <f t="shared" si="10"/>
        <v>75921472.32118988</v>
      </c>
      <c r="AR46" s="161">
        <f t="shared" si="10"/>
        <v>128962830.8257761</v>
      </c>
      <c r="AS46" s="161">
        <f t="shared" si="10"/>
        <v>182004189.33036232</v>
      </c>
      <c r="AT46" s="220"/>
    </row>
    <row r="47" spans="9:59" x14ac:dyDescent="0.2">
      <c r="K47" s="159" t="s">
        <v>100</v>
      </c>
      <c r="L47" s="162" t="str">
        <f>$C$4</f>
        <v>Option 1A</v>
      </c>
      <c r="M47" s="162" t="str">
        <f>$D$4</f>
        <v>Option 1B</v>
      </c>
      <c r="N47" s="162" t="str">
        <f>$E$4</f>
        <v>Option 1C</v>
      </c>
      <c r="O47" s="162" t="str">
        <f>$F$4</f>
        <v>Option 1D</v>
      </c>
      <c r="P47" s="162" t="str">
        <f>$G$4</f>
        <v>Option 5A</v>
      </c>
      <c r="Q47" s="162" t="str">
        <f>$H$4</f>
        <v>Option 5B</v>
      </c>
      <c r="S47" s="160" t="str">
        <f>$K$10</f>
        <v>Avoided voluntary load curtailment</v>
      </c>
      <c r="T47" s="161">
        <f t="shared" si="11"/>
        <v>0</v>
      </c>
      <c r="U47" s="161">
        <f t="shared" si="12"/>
        <v>2.4565855280961841</v>
      </c>
      <c r="V47" s="161">
        <f t="shared" si="10"/>
        <v>5.0806261396501213</v>
      </c>
      <c r="W47" s="161">
        <f t="shared" si="10"/>
        <v>153305.07245131792</v>
      </c>
      <c r="X47" s="161">
        <f t="shared" si="10"/>
        <v>323955.26444193465</v>
      </c>
      <c r="Y47" s="161">
        <f t="shared" si="10"/>
        <v>355871.39957016543</v>
      </c>
      <c r="Z47" s="161">
        <f t="shared" si="10"/>
        <v>355874.7580381856</v>
      </c>
      <c r="AA47" s="161">
        <f t="shared" si="10"/>
        <v>358736.62951849139</v>
      </c>
      <c r="AB47" s="161">
        <f t="shared" si="10"/>
        <v>360273.45681589522</v>
      </c>
      <c r="AC47" s="161">
        <f t="shared" si="10"/>
        <v>405316.44613025064</v>
      </c>
      <c r="AD47" s="161">
        <f t="shared" si="10"/>
        <v>412161.69888369698</v>
      </c>
      <c r="AE47" s="161">
        <f t="shared" si="10"/>
        <v>398196.10614746372</v>
      </c>
      <c r="AF47" s="161">
        <f t="shared" si="10"/>
        <v>413831.45027154783</v>
      </c>
      <c r="AG47" s="161">
        <f t="shared" si="10"/>
        <v>1180839.3995352425</v>
      </c>
      <c r="AH47" s="161">
        <f t="shared" si="10"/>
        <v>1591146.3208056912</v>
      </c>
      <c r="AI47" s="161">
        <f t="shared" si="10"/>
        <v>2633250.6748090722</v>
      </c>
      <c r="AJ47" s="161">
        <f t="shared" si="10"/>
        <v>4665602.0654674321</v>
      </c>
      <c r="AK47" s="161">
        <f t="shared" si="10"/>
        <v>4665602.0991472034</v>
      </c>
      <c r="AL47" s="161">
        <f t="shared" si="10"/>
        <v>4615428.5866952688</v>
      </c>
      <c r="AM47" s="161">
        <f t="shared" si="10"/>
        <v>4264356.792180053</v>
      </c>
      <c r="AN47" s="161">
        <f t="shared" si="10"/>
        <v>9807380.8226869889</v>
      </c>
      <c r="AO47" s="161">
        <f t="shared" si="10"/>
        <v>6640987.8287099861</v>
      </c>
      <c r="AP47" s="161">
        <f t="shared" si="10"/>
        <v>9878947.6447358113</v>
      </c>
      <c r="AQ47" s="161">
        <f t="shared" si="10"/>
        <v>10230647.968492536</v>
      </c>
      <c r="AR47" s="161">
        <f t="shared" si="10"/>
        <v>10142268.503633877</v>
      </c>
      <c r="AS47" s="161">
        <f t="shared" si="10"/>
        <v>10053889.038775219</v>
      </c>
      <c r="AT47" s="220"/>
    </row>
    <row r="48" spans="9:59" x14ac:dyDescent="0.2">
      <c r="K48" s="160" t="str">
        <f>$K$5</f>
        <v>Transmission capex</v>
      </c>
      <c r="L48" s="192">
        <v>-138464937.18402365</v>
      </c>
      <c r="M48" s="192">
        <v>-25715467.479306318</v>
      </c>
      <c r="N48" s="192">
        <v>-112749469.70471734</v>
      </c>
      <c r="O48" s="192">
        <v>-35831399.270566955</v>
      </c>
      <c r="P48" s="192">
        <v>-79988839.483082816</v>
      </c>
      <c r="Q48" s="192">
        <v>-332809646.37239742</v>
      </c>
      <c r="S48" s="160" t="str">
        <f>$K$11</f>
        <v>Avoided generation/storage costs (excl. fuel costs)</v>
      </c>
      <c r="T48" s="161">
        <f t="shared" si="11"/>
        <v>0</v>
      </c>
      <c r="U48" s="161">
        <f t="shared" si="12"/>
        <v>292.30119729042053</v>
      </c>
      <c r="V48" s="161">
        <f t="shared" si="10"/>
        <v>9321.133288025856</v>
      </c>
      <c r="W48" s="161">
        <f t="shared" si="10"/>
        <v>169393110.16543186</v>
      </c>
      <c r="X48" s="161">
        <f t="shared" si="10"/>
        <v>151294366.76356113</v>
      </c>
      <c r="Y48" s="161">
        <f t="shared" si="10"/>
        <v>150908949.02826881</v>
      </c>
      <c r="Z48" s="161">
        <f t="shared" si="10"/>
        <v>152679298.26666403</v>
      </c>
      <c r="AA48" s="161">
        <f t="shared" si="10"/>
        <v>157298251.97427595</v>
      </c>
      <c r="AB48" s="161">
        <f t="shared" si="10"/>
        <v>162307633.14555633</v>
      </c>
      <c r="AC48" s="161">
        <f t="shared" si="10"/>
        <v>382540553.85350883</v>
      </c>
      <c r="AD48" s="161">
        <f t="shared" si="10"/>
        <v>449919932.920555</v>
      </c>
      <c r="AE48" s="161">
        <f t="shared" si="10"/>
        <v>449151773.58391011</v>
      </c>
      <c r="AF48" s="161">
        <f t="shared" si="10"/>
        <v>504877512.39596188</v>
      </c>
      <c r="AG48" s="161">
        <f t="shared" si="10"/>
        <v>257691183.57436383</v>
      </c>
      <c r="AH48" s="161">
        <f t="shared" si="10"/>
        <v>383576679.45530236</v>
      </c>
      <c r="AI48" s="161">
        <f t="shared" si="10"/>
        <v>585392470.9193126</v>
      </c>
      <c r="AJ48" s="161">
        <f t="shared" si="10"/>
        <v>645615077.37789071</v>
      </c>
      <c r="AK48" s="161">
        <f t="shared" si="10"/>
        <v>341632159.73694098</v>
      </c>
      <c r="AL48" s="161">
        <f t="shared" si="10"/>
        <v>331673344.12061036</v>
      </c>
      <c r="AM48" s="161">
        <f t="shared" si="10"/>
        <v>327661353.34336531</v>
      </c>
      <c r="AN48" s="161">
        <f t="shared" si="10"/>
        <v>430542881.24392998</v>
      </c>
      <c r="AO48" s="161">
        <f t="shared" si="10"/>
        <v>348894633.34421527</v>
      </c>
      <c r="AP48" s="161">
        <f t="shared" si="10"/>
        <v>418798067.06031811</v>
      </c>
      <c r="AQ48" s="161">
        <f t="shared" si="10"/>
        <v>443081363.19287157</v>
      </c>
      <c r="AR48" s="161">
        <f t="shared" si="10"/>
        <v>398528702.08363104</v>
      </c>
      <c r="AS48" s="161">
        <f t="shared" si="10"/>
        <v>353976040.97439051</v>
      </c>
      <c r="AT48" s="220"/>
    </row>
    <row r="49" spans="11:46" x14ac:dyDescent="0.2">
      <c r="K49" s="160" t="str">
        <f>$K$6</f>
        <v>Transmission opex</v>
      </c>
      <c r="L49" s="192">
        <v>-22589879.628669944</v>
      </c>
      <c r="M49" s="192">
        <v>-3708371.6782973711</v>
      </c>
      <c r="N49" s="192">
        <v>-18881507.95037258</v>
      </c>
      <c r="O49" s="192">
        <v>-4981394.7917427355</v>
      </c>
      <c r="P49" s="192">
        <v>-8687143.2356444057</v>
      </c>
      <c r="Q49" s="192">
        <v>-33513043.265276469</v>
      </c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223"/>
    </row>
    <row r="50" spans="11:46" x14ac:dyDescent="0.2">
      <c r="K50" s="160" t="str">
        <f>$K$7</f>
        <v>Avoided unserved energy</v>
      </c>
      <c r="L50" s="192">
        <v>-32097904.857863273</v>
      </c>
      <c r="M50" s="192">
        <v>-19317267.050934505</v>
      </c>
      <c r="N50" s="192">
        <v>-8714083.7458972484</v>
      </c>
      <c r="O50" s="192">
        <v>-6694322.1260716068</v>
      </c>
      <c r="P50" s="192">
        <v>-3906421.8925516745</v>
      </c>
      <c r="Q50" s="192">
        <v>-19532109.462758414</v>
      </c>
      <c r="S50" s="159" t="str">
        <f>S18</f>
        <v>Neutral + lower emissions</v>
      </c>
      <c r="T50" s="162" t="str">
        <f>T$4</f>
        <v>2019-20</v>
      </c>
      <c r="U50" s="162" t="str">
        <f t="shared" ref="U50:AS50" si="13">U$4</f>
        <v>2020-21</v>
      </c>
      <c r="V50" s="162" t="str">
        <f t="shared" si="13"/>
        <v>2021-22</v>
      </c>
      <c r="W50" s="162" t="str">
        <f t="shared" si="13"/>
        <v>2022-23</v>
      </c>
      <c r="X50" s="162" t="str">
        <f t="shared" si="13"/>
        <v>2023-24</v>
      </c>
      <c r="Y50" s="162" t="str">
        <f t="shared" si="13"/>
        <v>2024-25</v>
      </c>
      <c r="Z50" s="162" t="str">
        <f t="shared" si="13"/>
        <v>2025-26</v>
      </c>
      <c r="AA50" s="162" t="str">
        <f t="shared" si="13"/>
        <v>2026-27</v>
      </c>
      <c r="AB50" s="162" t="str">
        <f t="shared" si="13"/>
        <v>2027-28</v>
      </c>
      <c r="AC50" s="162" t="str">
        <f t="shared" si="13"/>
        <v>2028-29</v>
      </c>
      <c r="AD50" s="162" t="str">
        <f t="shared" si="13"/>
        <v>2029-30</v>
      </c>
      <c r="AE50" s="162" t="str">
        <f t="shared" si="13"/>
        <v>2030-31</v>
      </c>
      <c r="AF50" s="162" t="str">
        <f t="shared" si="13"/>
        <v>2031-32</v>
      </c>
      <c r="AG50" s="162" t="str">
        <f t="shared" si="13"/>
        <v>2032-33</v>
      </c>
      <c r="AH50" s="162" t="str">
        <f t="shared" si="13"/>
        <v>2033-34</v>
      </c>
      <c r="AI50" s="162" t="str">
        <f t="shared" si="13"/>
        <v>2034-35</v>
      </c>
      <c r="AJ50" s="162" t="str">
        <f t="shared" si="13"/>
        <v>2035-36</v>
      </c>
      <c r="AK50" s="162" t="str">
        <f t="shared" si="13"/>
        <v>2036-37</v>
      </c>
      <c r="AL50" s="162" t="str">
        <f t="shared" si="13"/>
        <v>2037-38</v>
      </c>
      <c r="AM50" s="162" t="str">
        <f t="shared" si="13"/>
        <v>2038-39</v>
      </c>
      <c r="AN50" s="162" t="str">
        <f t="shared" si="13"/>
        <v>2039-40</v>
      </c>
      <c r="AO50" s="162" t="str">
        <f t="shared" si="13"/>
        <v>2040-41</v>
      </c>
      <c r="AP50" s="162" t="str">
        <f t="shared" si="13"/>
        <v>2041-42</v>
      </c>
      <c r="AQ50" s="162" t="str">
        <f t="shared" si="13"/>
        <v>2042-43</v>
      </c>
      <c r="AR50" s="162" t="str">
        <f t="shared" si="13"/>
        <v>2043-44</v>
      </c>
      <c r="AS50" s="162" t="str">
        <f t="shared" si="13"/>
        <v>2044-45</v>
      </c>
      <c r="AT50" s="172"/>
    </row>
    <row r="51" spans="11:46" x14ac:dyDescent="0.2">
      <c r="K51" s="160" t="str">
        <f>$K$8</f>
        <v>Avoided REZ transmission capex</v>
      </c>
      <c r="L51" s="192">
        <v>36373139.617818944</v>
      </c>
      <c r="M51" s="192">
        <v>32026352.390737388</v>
      </c>
      <c r="N51" s="192">
        <v>-8378126.5354952132</v>
      </c>
      <c r="O51" s="192">
        <v>-4401737.4129589917</v>
      </c>
      <c r="P51" s="192">
        <v>8797860.0651129726</v>
      </c>
      <c r="Q51" s="192">
        <v>43989300.32556504</v>
      </c>
      <c r="S51" s="160" t="str">
        <f>$K$7</f>
        <v>Avoided unserved energy</v>
      </c>
      <c r="T51" s="161">
        <f>T19</f>
        <v>0</v>
      </c>
      <c r="U51" s="161">
        <f>T51+U19</f>
        <v>3.7367151000000098E-2</v>
      </c>
      <c r="V51" s="161">
        <f t="shared" ref="V51:AS51" si="14">U51+V19</f>
        <v>7.2530980103112319E-2</v>
      </c>
      <c r="W51" s="161">
        <f t="shared" si="14"/>
        <v>-3326346.1851850273</v>
      </c>
      <c r="X51" s="161">
        <f t="shared" si="14"/>
        <v>-2631681.1124476613</v>
      </c>
      <c r="Y51" s="161">
        <f t="shared" si="14"/>
        <v>3957964.8623060314</v>
      </c>
      <c r="Z51" s="161">
        <f t="shared" si="14"/>
        <v>3957964.9120973805</v>
      </c>
      <c r="AA51" s="161">
        <f t="shared" si="14"/>
        <v>3957964.9648209377</v>
      </c>
      <c r="AB51" s="161">
        <f t="shared" si="14"/>
        <v>3957965.0208342713</v>
      </c>
      <c r="AC51" s="161">
        <f t="shared" si="14"/>
        <v>4471926.1274433136</v>
      </c>
      <c r="AD51" s="161">
        <f t="shared" si="14"/>
        <v>2195117.4060574751</v>
      </c>
      <c r="AE51" s="161">
        <f t="shared" si="14"/>
        <v>2138540.2771785613</v>
      </c>
      <c r="AF51" s="161">
        <f t="shared" si="14"/>
        <v>2138540.3475523437</v>
      </c>
      <c r="AG51" s="161">
        <f t="shared" si="14"/>
        <v>36652.69493555231</v>
      </c>
      <c r="AH51" s="161">
        <f t="shared" si="14"/>
        <v>-2135364.0269800057</v>
      </c>
      <c r="AI51" s="161">
        <f t="shared" si="14"/>
        <v>-2547187.8261815626</v>
      </c>
      <c r="AJ51" s="161">
        <f t="shared" si="14"/>
        <v>-3174113.2515935916</v>
      </c>
      <c r="AK51" s="161">
        <f t="shared" si="14"/>
        <v>-3174113.1585308872</v>
      </c>
      <c r="AL51" s="161">
        <f t="shared" si="14"/>
        <v>-3174113.0600709058</v>
      </c>
      <c r="AM51" s="161">
        <f t="shared" si="14"/>
        <v>-3217061.9787570485</v>
      </c>
      <c r="AN51" s="161">
        <f t="shared" si="14"/>
        <v>19757641.712342542</v>
      </c>
      <c r="AO51" s="161">
        <f t="shared" si="14"/>
        <v>19757641.829126213</v>
      </c>
      <c r="AP51" s="161">
        <f t="shared" si="14"/>
        <v>21295623.420886237</v>
      </c>
      <c r="AQ51" s="161">
        <f t="shared" si="14"/>
        <v>21240898.193811275</v>
      </c>
      <c r="AR51" s="161">
        <f t="shared" si="14"/>
        <v>22413981.103287563</v>
      </c>
      <c r="AS51" s="161">
        <f t="shared" si="14"/>
        <v>23587064.01276385</v>
      </c>
      <c r="AT51" s="220"/>
    </row>
    <row r="52" spans="11:46" x14ac:dyDescent="0.2">
      <c r="K52" s="160" t="str">
        <f>$K$9</f>
        <v>Avoided fuel costs</v>
      </c>
      <c r="L52" s="192">
        <v>105614731.8950156</v>
      </c>
      <c r="M52" s="192">
        <v>109114434.41885908</v>
      </c>
      <c r="N52" s="192">
        <v>-12150259.751776801</v>
      </c>
      <c r="O52" s="192">
        <v>-4942872.4787385082</v>
      </c>
      <c r="P52" s="192">
        <v>25266112.726655807</v>
      </c>
      <c r="Q52" s="192">
        <v>126330563.63327885</v>
      </c>
      <c r="S52" s="160" t="str">
        <f>$K$8</f>
        <v>Avoided REZ transmission capex</v>
      </c>
      <c r="T52" s="161">
        <f t="shared" ref="T52:T55" si="15">T20</f>
        <v>0</v>
      </c>
      <c r="U52" s="161">
        <f t="shared" ref="U52:AS52" si="16">T52+U20</f>
        <v>0.45408489212011105</v>
      </c>
      <c r="V52" s="161">
        <f t="shared" si="16"/>
        <v>0.48373888806348897</v>
      </c>
      <c r="W52" s="161">
        <f t="shared" si="16"/>
        <v>13938299.864705253</v>
      </c>
      <c r="X52" s="161">
        <f t="shared" si="16"/>
        <v>13938299.842072887</v>
      </c>
      <c r="Y52" s="161">
        <f t="shared" si="16"/>
        <v>1977328.3686577808</v>
      </c>
      <c r="Z52" s="161">
        <f t="shared" si="16"/>
        <v>20197515.987538621</v>
      </c>
      <c r="AA52" s="161">
        <f t="shared" si="16"/>
        <v>20197516.011481732</v>
      </c>
      <c r="AB52" s="161">
        <f t="shared" si="16"/>
        <v>48646525.373698592</v>
      </c>
      <c r="AC52" s="161">
        <f t="shared" si="16"/>
        <v>43997249.5200032</v>
      </c>
      <c r="AD52" s="161">
        <f t="shared" si="16"/>
        <v>39509124.254422396</v>
      </c>
      <c r="AE52" s="161">
        <f t="shared" si="16"/>
        <v>34906156.162285194</v>
      </c>
      <c r="AF52" s="161">
        <f t="shared" si="16"/>
        <v>31743161.184328362</v>
      </c>
      <c r="AG52" s="161">
        <f t="shared" si="16"/>
        <v>51023605.670795575</v>
      </c>
      <c r="AH52" s="161">
        <f t="shared" si="16"/>
        <v>47230119.975747243</v>
      </c>
      <c r="AI52" s="161">
        <f t="shared" si="16"/>
        <v>47230119.962956272</v>
      </c>
      <c r="AJ52" s="161">
        <f t="shared" si="16"/>
        <v>65584938.540363394</v>
      </c>
      <c r="AK52" s="161">
        <f t="shared" si="16"/>
        <v>47897175.851506874</v>
      </c>
      <c r="AL52" s="161">
        <f t="shared" si="16"/>
        <v>42877105.889194444</v>
      </c>
      <c r="AM52" s="161">
        <f t="shared" si="16"/>
        <v>31524536.418905869</v>
      </c>
      <c r="AN52" s="161">
        <f t="shared" si="16"/>
        <v>54660020.230701521</v>
      </c>
      <c r="AO52" s="161">
        <f t="shared" si="16"/>
        <v>51646965.129875079</v>
      </c>
      <c r="AP52" s="161">
        <f t="shared" si="16"/>
        <v>58058255.173005775</v>
      </c>
      <c r="AQ52" s="161">
        <f t="shared" si="16"/>
        <v>58058255.153745614</v>
      </c>
      <c r="AR52" s="161">
        <f t="shared" si="16"/>
        <v>61759362.662893258</v>
      </c>
      <c r="AS52" s="161">
        <f t="shared" si="16"/>
        <v>65460470.172040902</v>
      </c>
      <c r="AT52" s="220"/>
    </row>
    <row r="53" spans="11:46" x14ac:dyDescent="0.2">
      <c r="K53" s="160" t="str">
        <f>$K$10</f>
        <v>Avoided voluntary load curtailment</v>
      </c>
      <c r="L53" s="192">
        <v>-987318.50152529089</v>
      </c>
      <c r="M53" s="192">
        <v>1339617.0375485288</v>
      </c>
      <c r="N53" s="192">
        <v>-1879826.9545988517</v>
      </c>
      <c r="O53" s="192">
        <v>340719.76256387524</v>
      </c>
      <c r="P53" s="192">
        <v>-191374.8797267139</v>
      </c>
      <c r="Q53" s="192">
        <v>-956874.39863357239</v>
      </c>
      <c r="S53" s="160" t="str">
        <f>$K$9</f>
        <v>Avoided fuel costs</v>
      </c>
      <c r="T53" s="161">
        <f t="shared" si="15"/>
        <v>0</v>
      </c>
      <c r="U53" s="161">
        <f t="shared" ref="U53:AS53" si="17">T53+U21</f>
        <v>-211.68332862854004</v>
      </c>
      <c r="V53" s="161">
        <f t="shared" si="17"/>
        <v>-87146.818571567535</v>
      </c>
      <c r="W53" s="161">
        <f t="shared" si="17"/>
        <v>660561.20986461639</v>
      </c>
      <c r="X53" s="161">
        <f t="shared" si="17"/>
        <v>2809095.6433334351</v>
      </c>
      <c r="Y53" s="161">
        <f t="shared" si="17"/>
        <v>3634510.2513747215</v>
      </c>
      <c r="Z53" s="161">
        <f t="shared" si="17"/>
        <v>3399225.970533371</v>
      </c>
      <c r="AA53" s="161">
        <f t="shared" si="17"/>
        <v>3787821.5026760101</v>
      </c>
      <c r="AB53" s="161">
        <f t="shared" si="17"/>
        <v>6193724.6058111191</v>
      </c>
      <c r="AC53" s="161">
        <f t="shared" si="17"/>
        <v>9232294.0379078388</v>
      </c>
      <c r="AD53" s="161">
        <f t="shared" si="17"/>
        <v>10563738.249243975</v>
      </c>
      <c r="AE53" s="161">
        <f t="shared" si="17"/>
        <v>13863710.676539421</v>
      </c>
      <c r="AF53" s="161">
        <f t="shared" si="17"/>
        <v>22552826.250951052</v>
      </c>
      <c r="AG53" s="161">
        <f t="shared" si="17"/>
        <v>31416720.745644093</v>
      </c>
      <c r="AH53" s="161">
        <f t="shared" si="17"/>
        <v>46668709.082293272</v>
      </c>
      <c r="AI53" s="161">
        <f t="shared" si="17"/>
        <v>43429119.533906221</v>
      </c>
      <c r="AJ53" s="161">
        <f t="shared" si="17"/>
        <v>49565066.733701229</v>
      </c>
      <c r="AK53" s="161">
        <f t="shared" si="17"/>
        <v>51562747.021617174</v>
      </c>
      <c r="AL53" s="161">
        <f t="shared" si="17"/>
        <v>60823366.46727705</v>
      </c>
      <c r="AM53" s="161">
        <f t="shared" si="17"/>
        <v>67695367.211809397</v>
      </c>
      <c r="AN53" s="161">
        <f t="shared" si="17"/>
        <v>84777353.715587616</v>
      </c>
      <c r="AO53" s="161">
        <f t="shared" si="17"/>
        <v>99090288.767148972</v>
      </c>
      <c r="AP53" s="161">
        <f t="shared" si="17"/>
        <v>120354091.4845891</v>
      </c>
      <c r="AQ53" s="161">
        <f t="shared" si="17"/>
        <v>140818468.86418939</v>
      </c>
      <c r="AR53" s="161">
        <f t="shared" si="17"/>
        <v>169562541.62549806</v>
      </c>
      <c r="AS53" s="161">
        <f t="shared" si="17"/>
        <v>198306614.38680673</v>
      </c>
      <c r="AT53" s="220"/>
    </row>
    <row r="54" spans="11:46" x14ac:dyDescent="0.2">
      <c r="K54" s="160" t="str">
        <f>$K$11</f>
        <v>Avoided generation/storage costs (excl. fuel costs)</v>
      </c>
      <c r="L54" s="193">
        <v>341946353.08349574</v>
      </c>
      <c r="M54" s="193">
        <v>160631795.22971782</v>
      </c>
      <c r="N54" s="193">
        <v>143062295.16783908</v>
      </c>
      <c r="O54" s="193">
        <v>82307091.998711631</v>
      </c>
      <c r="P54" s="193">
        <v>76507387.884523481</v>
      </c>
      <c r="Q54" s="193">
        <v>382536939.42261887</v>
      </c>
      <c r="S54" s="160" t="str">
        <f>$K$10</f>
        <v>Avoided voluntary load curtailment</v>
      </c>
      <c r="T54" s="161">
        <f t="shared" si="15"/>
        <v>0</v>
      </c>
      <c r="U54" s="161">
        <f t="shared" ref="U54:AS54" si="18">T54+U22</f>
        <v>0.12116927199895144</v>
      </c>
      <c r="V54" s="161">
        <f t="shared" si="18"/>
        <v>0.24503596418435336</v>
      </c>
      <c r="W54" s="161">
        <f t="shared" si="18"/>
        <v>318789.77274603501</v>
      </c>
      <c r="X54" s="161">
        <f t="shared" si="18"/>
        <v>-20137.731126518804</v>
      </c>
      <c r="Y54" s="161">
        <f t="shared" si="18"/>
        <v>-105419.56133379403</v>
      </c>
      <c r="Z54" s="161">
        <f t="shared" si="18"/>
        <v>-105419.39175262784</v>
      </c>
      <c r="AA54" s="161">
        <f t="shared" si="18"/>
        <v>-105419.21484063692</v>
      </c>
      <c r="AB54" s="161">
        <f t="shared" si="18"/>
        <v>-105419.01774021536</v>
      </c>
      <c r="AC54" s="161">
        <f t="shared" si="18"/>
        <v>-158383.25173030532</v>
      </c>
      <c r="AD54" s="161">
        <f t="shared" si="18"/>
        <v>-171757.9989578402</v>
      </c>
      <c r="AE54" s="161">
        <f t="shared" si="18"/>
        <v>-156526.81861866632</v>
      </c>
      <c r="AF54" s="161">
        <f t="shared" si="18"/>
        <v>-120797.17585665866</v>
      </c>
      <c r="AG54" s="161">
        <f t="shared" si="18"/>
        <v>-243673.68297314591</v>
      </c>
      <c r="AH54" s="161">
        <f t="shared" si="18"/>
        <v>761160.96210415708</v>
      </c>
      <c r="AI54" s="161">
        <f t="shared" si="18"/>
        <v>2505656.2191613223</v>
      </c>
      <c r="AJ54" s="161">
        <f t="shared" si="18"/>
        <v>7570978.4068390075</v>
      </c>
      <c r="AK54" s="161">
        <f t="shared" si="18"/>
        <v>7570978.7476962404</v>
      </c>
      <c r="AL54" s="161">
        <f t="shared" si="18"/>
        <v>7570979.1172152366</v>
      </c>
      <c r="AM54" s="161">
        <f t="shared" si="18"/>
        <v>7623824.8115670029</v>
      </c>
      <c r="AN54" s="161">
        <f t="shared" si="18"/>
        <v>15468884.792692725</v>
      </c>
      <c r="AO54" s="161">
        <f t="shared" si="18"/>
        <v>16924328.187739089</v>
      </c>
      <c r="AP54" s="161">
        <f t="shared" si="18"/>
        <v>32399654.012076877</v>
      </c>
      <c r="AQ54" s="161">
        <f t="shared" si="18"/>
        <v>37573088.425305232</v>
      </c>
      <c r="AR54" s="161">
        <f t="shared" si="18"/>
        <v>64886655.28715916</v>
      </c>
      <c r="AS54" s="161">
        <f t="shared" si="18"/>
        <v>92200222.149013087</v>
      </c>
      <c r="AT54" s="220"/>
    </row>
    <row r="55" spans="11:46" x14ac:dyDescent="0.2">
      <c r="K55" s="160" t="s">
        <v>38</v>
      </c>
      <c r="L55" s="166">
        <f>_xlfn.AGGREGATE(9,6,L48:L54)</f>
        <v>289794184.4242481</v>
      </c>
      <c r="M55" s="166">
        <f t="shared" ref="M55:Q55" si="19">_xlfn.AGGREGATE(9,6,M48:M54)</f>
        <v>254371092.86832464</v>
      </c>
      <c r="N55" s="166">
        <f t="shared" si="19"/>
        <v>-19690979.475018948</v>
      </c>
      <c r="O55" s="166">
        <f t="shared" si="19"/>
        <v>25796085.681196705</v>
      </c>
      <c r="P55" s="166">
        <f t="shared" si="19"/>
        <v>17797581.185286663</v>
      </c>
      <c r="Q55" s="166">
        <f t="shared" si="19"/>
        <v>166045129.88239685</v>
      </c>
      <c r="S55" s="160" t="str">
        <f>$K$11</f>
        <v>Avoided generation/storage costs (excl. fuel costs)</v>
      </c>
      <c r="T55" s="161">
        <f t="shared" si="15"/>
        <v>0</v>
      </c>
      <c r="U55" s="161">
        <f t="shared" ref="U55:AS55" si="20">T55+U23</f>
        <v>24.455248832702637</v>
      </c>
      <c r="V55" s="161">
        <f t="shared" si="20"/>
        <v>5597.4531923532486</v>
      </c>
      <c r="W55" s="161">
        <f t="shared" si="20"/>
        <v>235130656.40696824</v>
      </c>
      <c r="X55" s="161">
        <f t="shared" si="20"/>
        <v>209941805.78579676</v>
      </c>
      <c r="Y55" s="161">
        <f t="shared" si="20"/>
        <v>179861459.34737933</v>
      </c>
      <c r="Z55" s="161">
        <f t="shared" si="20"/>
        <v>164259183.21899188</v>
      </c>
      <c r="AA55" s="161">
        <f t="shared" si="20"/>
        <v>177615167.8952657</v>
      </c>
      <c r="AB55" s="161">
        <f t="shared" si="20"/>
        <v>207925918.71269429</v>
      </c>
      <c r="AC55" s="161">
        <f t="shared" si="20"/>
        <v>232041158.46917069</v>
      </c>
      <c r="AD55" s="161">
        <f t="shared" si="20"/>
        <v>261256428.93123829</v>
      </c>
      <c r="AE55" s="161">
        <f t="shared" si="20"/>
        <v>201398586.33289349</v>
      </c>
      <c r="AF55" s="161">
        <f t="shared" si="20"/>
        <v>163934407.54920685</v>
      </c>
      <c r="AG55" s="161">
        <f t="shared" si="20"/>
        <v>218749076.81261933</v>
      </c>
      <c r="AH55" s="161">
        <f t="shared" si="20"/>
        <v>186392497.98266804</v>
      </c>
      <c r="AI55" s="161">
        <f t="shared" si="20"/>
        <v>288310054.49716651</v>
      </c>
      <c r="AJ55" s="161">
        <f t="shared" si="20"/>
        <v>402909766.71441734</v>
      </c>
      <c r="AK55" s="161">
        <f t="shared" si="20"/>
        <v>407942167.74328744</v>
      </c>
      <c r="AL55" s="161">
        <f t="shared" si="20"/>
        <v>338310719.84351575</v>
      </c>
      <c r="AM55" s="161">
        <f t="shared" si="20"/>
        <v>315202710.72683775</v>
      </c>
      <c r="AN55" s="161">
        <f t="shared" si="20"/>
        <v>323527694.57058299</v>
      </c>
      <c r="AO55" s="161">
        <f t="shared" si="20"/>
        <v>337116532.55364764</v>
      </c>
      <c r="AP55" s="161">
        <f t="shared" si="20"/>
        <v>331078440.69500744</v>
      </c>
      <c r="AQ55" s="161">
        <f t="shared" si="20"/>
        <v>330205192.13185227</v>
      </c>
      <c r="AR55" s="161">
        <f t="shared" si="20"/>
        <v>405559286.74012005</v>
      </c>
      <c r="AS55" s="161">
        <f t="shared" si="20"/>
        <v>480913381.34838784</v>
      </c>
      <c r="AT55" s="220"/>
    </row>
    <row r="56" spans="11:46" x14ac:dyDescent="0.2">
      <c r="L56" s="169"/>
      <c r="M56" s="169"/>
      <c r="N56" s="169"/>
      <c r="O56" s="169"/>
      <c r="P56" s="169"/>
      <c r="Q56" s="169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223"/>
    </row>
    <row r="57" spans="11:46" x14ac:dyDescent="0.2">
      <c r="L57" s="169"/>
      <c r="S57" s="159" t="str">
        <f>S25</f>
        <v>Slow change</v>
      </c>
      <c r="T57" s="162" t="str">
        <f>T$4</f>
        <v>2019-20</v>
      </c>
      <c r="U57" s="162" t="str">
        <f t="shared" ref="U57:AS57" si="21">U$4</f>
        <v>2020-21</v>
      </c>
      <c r="V57" s="162" t="str">
        <f t="shared" si="21"/>
        <v>2021-22</v>
      </c>
      <c r="W57" s="162" t="str">
        <f t="shared" si="21"/>
        <v>2022-23</v>
      </c>
      <c r="X57" s="162" t="str">
        <f t="shared" si="21"/>
        <v>2023-24</v>
      </c>
      <c r="Y57" s="162" t="str">
        <f t="shared" si="21"/>
        <v>2024-25</v>
      </c>
      <c r="Z57" s="162" t="str">
        <f t="shared" si="21"/>
        <v>2025-26</v>
      </c>
      <c r="AA57" s="162" t="str">
        <f t="shared" si="21"/>
        <v>2026-27</v>
      </c>
      <c r="AB57" s="162" t="str">
        <f t="shared" si="21"/>
        <v>2027-28</v>
      </c>
      <c r="AC57" s="162" t="str">
        <f t="shared" si="21"/>
        <v>2028-29</v>
      </c>
      <c r="AD57" s="162" t="str">
        <f t="shared" si="21"/>
        <v>2029-30</v>
      </c>
      <c r="AE57" s="162" t="str">
        <f t="shared" si="21"/>
        <v>2030-31</v>
      </c>
      <c r="AF57" s="162" t="str">
        <f t="shared" si="21"/>
        <v>2031-32</v>
      </c>
      <c r="AG57" s="162" t="str">
        <f t="shared" si="21"/>
        <v>2032-33</v>
      </c>
      <c r="AH57" s="162" t="str">
        <f t="shared" si="21"/>
        <v>2033-34</v>
      </c>
      <c r="AI57" s="162" t="str">
        <f t="shared" si="21"/>
        <v>2034-35</v>
      </c>
      <c r="AJ57" s="162" t="str">
        <f t="shared" si="21"/>
        <v>2035-36</v>
      </c>
      <c r="AK57" s="162" t="str">
        <f t="shared" si="21"/>
        <v>2036-37</v>
      </c>
      <c r="AL57" s="162" t="str">
        <f t="shared" si="21"/>
        <v>2037-38</v>
      </c>
      <c r="AM57" s="162" t="str">
        <f t="shared" si="21"/>
        <v>2038-39</v>
      </c>
      <c r="AN57" s="162" t="str">
        <f t="shared" si="21"/>
        <v>2039-40</v>
      </c>
      <c r="AO57" s="162" t="str">
        <f t="shared" si="21"/>
        <v>2040-41</v>
      </c>
      <c r="AP57" s="162" t="str">
        <f t="shared" si="21"/>
        <v>2041-42</v>
      </c>
      <c r="AQ57" s="162" t="str">
        <f t="shared" si="21"/>
        <v>2042-43</v>
      </c>
      <c r="AR57" s="162" t="str">
        <f t="shared" si="21"/>
        <v>2043-44</v>
      </c>
      <c r="AS57" s="162" t="str">
        <f t="shared" si="21"/>
        <v>2044-45</v>
      </c>
      <c r="AT57" s="172"/>
    </row>
    <row r="58" spans="11:46" x14ac:dyDescent="0.2">
      <c r="S58" s="160" t="str">
        <f>$K$7</f>
        <v>Avoided unserved energy</v>
      </c>
      <c r="T58" s="161">
        <f>T26</f>
        <v>0</v>
      </c>
      <c r="U58" s="161">
        <f>T58+U26</f>
        <v>-21.302735416218638</v>
      </c>
      <c r="V58" s="161">
        <f t="shared" ref="V58:AS58" si="22">U58+V26</f>
        <v>-34.332062380388379</v>
      </c>
      <c r="W58" s="161">
        <f t="shared" si="22"/>
        <v>3125255.7245880943</v>
      </c>
      <c r="X58" s="161">
        <f t="shared" si="22"/>
        <v>2120184.1842372268</v>
      </c>
      <c r="Y58" s="161">
        <f t="shared" si="22"/>
        <v>3532509.881710086</v>
      </c>
      <c r="Z58" s="161">
        <f t="shared" si="22"/>
        <v>5875236.5191797763</v>
      </c>
      <c r="AA58" s="161">
        <f t="shared" si="22"/>
        <v>7013113.8876937767</v>
      </c>
      <c r="AB58" s="161">
        <f t="shared" si="22"/>
        <v>8412929.1676579975</v>
      </c>
      <c r="AC58" s="161">
        <f t="shared" si="22"/>
        <v>-2272792.4230194427</v>
      </c>
      <c r="AD58" s="161">
        <f t="shared" si="22"/>
        <v>-2580019.9761751946</v>
      </c>
      <c r="AE58" s="161">
        <f t="shared" si="22"/>
        <v>-2580012.6227076878</v>
      </c>
      <c r="AF58" s="161">
        <f t="shared" si="22"/>
        <v>-1837576.721115232</v>
      </c>
      <c r="AG58" s="161">
        <f t="shared" si="22"/>
        <v>-3255792.4322323953</v>
      </c>
      <c r="AH58" s="161">
        <f t="shared" si="22"/>
        <v>-2766571.1533486699</v>
      </c>
      <c r="AI58" s="161">
        <f t="shared" si="22"/>
        <v>-3026881.1753915017</v>
      </c>
      <c r="AJ58" s="161">
        <f t="shared" si="22"/>
        <v>3756626.943852202</v>
      </c>
      <c r="AK58" s="161">
        <f t="shared" si="22"/>
        <v>3839258.5869566714</v>
      </c>
      <c r="AL58" s="161">
        <f t="shared" si="22"/>
        <v>10187089.794758562</v>
      </c>
      <c r="AM58" s="161">
        <f t="shared" si="22"/>
        <v>12325643.724435475</v>
      </c>
      <c r="AN58" s="161">
        <f t="shared" si="22"/>
        <v>12300615.767395446</v>
      </c>
      <c r="AO58" s="161">
        <f t="shared" si="22"/>
        <v>12192405.590052338</v>
      </c>
      <c r="AP58" s="161">
        <f t="shared" si="22"/>
        <v>12015695.815973515</v>
      </c>
      <c r="AQ58" s="161">
        <f t="shared" si="22"/>
        <v>15598758.713786701</v>
      </c>
      <c r="AR58" s="161">
        <f t="shared" si="22"/>
        <v>16364597.919618765</v>
      </c>
      <c r="AS58" s="161">
        <f t="shared" si="22"/>
        <v>17130437.125450827</v>
      </c>
      <c r="AT58" s="220"/>
    </row>
    <row r="59" spans="11:46" x14ac:dyDescent="0.2">
      <c r="S59" s="160" t="str">
        <f>$K$8</f>
        <v>Avoided REZ transmission capex</v>
      </c>
      <c r="T59" s="161">
        <f t="shared" ref="T59:T62" si="23">T27</f>
        <v>0</v>
      </c>
      <c r="U59" s="161">
        <f t="shared" ref="U59:AS59" si="24">T59+U27</f>
        <v>50.19243043642755</v>
      </c>
      <c r="V59" s="161">
        <f t="shared" si="24"/>
        <v>51.897969855906474</v>
      </c>
      <c r="W59" s="161">
        <f t="shared" si="24"/>
        <v>57.806207870487754</v>
      </c>
      <c r="X59" s="161">
        <f t="shared" si="24"/>
        <v>59.710304583383092</v>
      </c>
      <c r="Y59" s="161">
        <f t="shared" si="24"/>
        <v>62.192011064048579</v>
      </c>
      <c r="Z59" s="161">
        <f t="shared" si="24"/>
        <v>65.811250792182562</v>
      </c>
      <c r="AA59" s="161">
        <f t="shared" si="24"/>
        <v>69.200724145065834</v>
      </c>
      <c r="AB59" s="161">
        <f t="shared" si="24"/>
        <v>71.729768087349228</v>
      </c>
      <c r="AC59" s="161">
        <f t="shared" si="24"/>
        <v>86.353603524876789</v>
      </c>
      <c r="AD59" s="161">
        <f t="shared" si="24"/>
        <v>106.4086255189923</v>
      </c>
      <c r="AE59" s="161">
        <f t="shared" si="24"/>
        <v>107.6621081103708</v>
      </c>
      <c r="AF59" s="161">
        <f t="shared" si="24"/>
        <v>108.38680778780375</v>
      </c>
      <c r="AG59" s="161">
        <f t="shared" si="24"/>
        <v>115.11457916272467</v>
      </c>
      <c r="AH59" s="161">
        <f t="shared" si="24"/>
        <v>122.34736044525772</v>
      </c>
      <c r="AI59" s="161">
        <f t="shared" si="24"/>
        <v>123.47516666289604</v>
      </c>
      <c r="AJ59" s="161">
        <f t="shared" si="24"/>
        <v>39722549.326044187</v>
      </c>
      <c r="AK59" s="161">
        <f t="shared" si="24"/>
        <v>36623664.167191461</v>
      </c>
      <c r="AL59" s="161">
        <f t="shared" si="24"/>
        <v>26424716.422895916</v>
      </c>
      <c r="AM59" s="161">
        <f t="shared" si="24"/>
        <v>31521566.672257792</v>
      </c>
      <c r="AN59" s="161">
        <f t="shared" si="24"/>
        <v>27145635.112813171</v>
      </c>
      <c r="AO59" s="161">
        <f t="shared" si="24"/>
        <v>22443589.873716991</v>
      </c>
      <c r="AP59" s="161">
        <f t="shared" si="24"/>
        <v>20356590.201001246</v>
      </c>
      <c r="AQ59" s="161">
        <f t="shared" si="24"/>
        <v>20356592.665419843</v>
      </c>
      <c r="AR59" s="161">
        <f t="shared" si="24"/>
        <v>17943965.875223737</v>
      </c>
      <c r="AS59" s="161">
        <f t="shared" si="24"/>
        <v>15531339.085027631</v>
      </c>
      <c r="AT59" s="220"/>
    </row>
    <row r="60" spans="11:46" x14ac:dyDescent="0.2">
      <c r="S60" s="160" t="str">
        <f>$K$9</f>
        <v>Avoided fuel costs</v>
      </c>
      <c r="T60" s="161">
        <f t="shared" si="23"/>
        <v>0</v>
      </c>
      <c r="U60" s="161">
        <f t="shared" ref="U60:AS60" si="25">T60+U28</f>
        <v>6.3784971237182617</v>
      </c>
      <c r="V60" s="161">
        <f t="shared" si="25"/>
        <v>-14271.420866966248</v>
      </c>
      <c r="W60" s="161">
        <f t="shared" si="25"/>
        <v>4122494.8220796585</v>
      </c>
      <c r="X60" s="161">
        <f t="shared" si="25"/>
        <v>7939028.2307476997</v>
      </c>
      <c r="Y60" s="161">
        <f t="shared" si="25"/>
        <v>12310169.447152615</v>
      </c>
      <c r="Z60" s="161">
        <f t="shared" si="25"/>
        <v>16281428.475803375</v>
      </c>
      <c r="AA60" s="161">
        <f t="shared" si="25"/>
        <v>21282174.148895979</v>
      </c>
      <c r="AB60" s="161">
        <f t="shared" si="25"/>
        <v>26917316.449816465</v>
      </c>
      <c r="AC60" s="161">
        <f t="shared" si="25"/>
        <v>29499313.287004471</v>
      </c>
      <c r="AD60" s="161">
        <f t="shared" si="25"/>
        <v>28360700.36564517</v>
      </c>
      <c r="AE60" s="161">
        <f t="shared" si="25"/>
        <v>26311838.404858828</v>
      </c>
      <c r="AF60" s="161">
        <f t="shared" si="25"/>
        <v>25213356.750603437</v>
      </c>
      <c r="AG60" s="161">
        <f t="shared" si="25"/>
        <v>27196672.787292242</v>
      </c>
      <c r="AH60" s="161">
        <f t="shared" si="25"/>
        <v>33410894.206056118</v>
      </c>
      <c r="AI60" s="161">
        <f t="shared" si="25"/>
        <v>35051522.415803432</v>
      </c>
      <c r="AJ60" s="161">
        <f t="shared" si="25"/>
        <v>36335515.5708251</v>
      </c>
      <c r="AK60" s="161">
        <f t="shared" si="25"/>
        <v>27695765.450037241</v>
      </c>
      <c r="AL60" s="161">
        <f t="shared" si="25"/>
        <v>48570534.974114895</v>
      </c>
      <c r="AM60" s="161">
        <f t="shared" si="25"/>
        <v>55994949.224628925</v>
      </c>
      <c r="AN60" s="161">
        <f t="shared" si="25"/>
        <v>71062267.295141697</v>
      </c>
      <c r="AO60" s="161">
        <f t="shared" si="25"/>
        <v>80769857.501860619</v>
      </c>
      <c r="AP60" s="161">
        <f t="shared" si="25"/>
        <v>97324046.317083359</v>
      </c>
      <c r="AQ60" s="161">
        <f t="shared" si="25"/>
        <v>113056620.80553389</v>
      </c>
      <c r="AR60" s="161">
        <f t="shared" si="25"/>
        <v>131837050.96355247</v>
      </c>
      <c r="AS60" s="161">
        <f t="shared" si="25"/>
        <v>150617481.12157106</v>
      </c>
      <c r="AT60" s="220"/>
    </row>
    <row r="61" spans="11:46" x14ac:dyDescent="0.2">
      <c r="R61" s="210"/>
      <c r="S61" s="160" t="str">
        <f>$K$10</f>
        <v>Avoided voluntary load curtailment</v>
      </c>
      <c r="T61" s="161">
        <f t="shared" si="23"/>
        <v>0</v>
      </c>
      <c r="U61" s="161">
        <f t="shared" ref="U61:AS61" si="26">T61+U29</f>
        <v>4.4537768180016428</v>
      </c>
      <c r="V61" s="161">
        <f t="shared" si="26"/>
        <v>9.1409519125008956</v>
      </c>
      <c r="W61" s="161">
        <f t="shared" si="26"/>
        <v>-6762.5207959004911</v>
      </c>
      <c r="X61" s="161">
        <f t="shared" si="26"/>
        <v>95295.043655351154</v>
      </c>
      <c r="Y61" s="161">
        <f t="shared" si="26"/>
        <v>84562.906938297907</v>
      </c>
      <c r="Z61" s="161">
        <f t="shared" si="26"/>
        <v>105811.21436616161</v>
      </c>
      <c r="AA61" s="161">
        <f t="shared" si="26"/>
        <v>77271.829156025196</v>
      </c>
      <c r="AB61" s="161">
        <f t="shared" si="26"/>
        <v>185089.06228542759</v>
      </c>
      <c r="AC61" s="161">
        <f t="shared" si="26"/>
        <v>28915.974196560332</v>
      </c>
      <c r="AD61" s="161">
        <f t="shared" si="26"/>
        <v>-9282.6695865563815</v>
      </c>
      <c r="AE61" s="161">
        <f t="shared" si="26"/>
        <v>-9274.9732139811349</v>
      </c>
      <c r="AF61" s="161">
        <f t="shared" si="26"/>
        <v>-20752.601807403724</v>
      </c>
      <c r="AG61" s="161">
        <f t="shared" si="26"/>
        <v>-203889.48644029011</v>
      </c>
      <c r="AH61" s="161">
        <f t="shared" si="26"/>
        <v>-247337.88202926458</v>
      </c>
      <c r="AI61" s="161">
        <f t="shared" si="26"/>
        <v>-287658.69701427838</v>
      </c>
      <c r="AJ61" s="161">
        <f t="shared" si="26"/>
        <v>-96426.662865052116</v>
      </c>
      <c r="AK61" s="161">
        <f t="shared" si="26"/>
        <v>-313842.62722730741</v>
      </c>
      <c r="AL61" s="161">
        <f t="shared" si="26"/>
        <v>-123063.22267798951</v>
      </c>
      <c r="AM61" s="161">
        <f t="shared" si="26"/>
        <v>-48692.380608500098</v>
      </c>
      <c r="AN61" s="161">
        <f t="shared" si="26"/>
        <v>95402.041968742269</v>
      </c>
      <c r="AO61" s="161">
        <f t="shared" si="26"/>
        <v>-135852.64850130503</v>
      </c>
      <c r="AP61" s="161">
        <f t="shared" si="26"/>
        <v>-149341.19570932875</v>
      </c>
      <c r="AQ61" s="161">
        <f t="shared" si="26"/>
        <v>-11187.114007915021</v>
      </c>
      <c r="AR61" s="161">
        <f t="shared" si="26"/>
        <v>-1295056.8080192939</v>
      </c>
      <c r="AS61" s="161">
        <f t="shared" si="26"/>
        <v>-2578926.502030673</v>
      </c>
      <c r="AT61" s="220"/>
    </row>
    <row r="62" spans="11:46" x14ac:dyDescent="0.2">
      <c r="S62" s="160" t="str">
        <f>$K$11</f>
        <v>Avoided generation/storage costs (excl. fuel costs)</v>
      </c>
      <c r="T62" s="161">
        <f t="shared" si="23"/>
        <v>0</v>
      </c>
      <c r="U62" s="161">
        <f t="shared" ref="U62:AS62" si="27">T62+U30</f>
        <v>1797.3452655076981</v>
      </c>
      <c r="V62" s="161">
        <f t="shared" si="27"/>
        <v>4372.2534366846085</v>
      </c>
      <c r="W62" s="161">
        <f t="shared" si="27"/>
        <v>122349451.85009873</v>
      </c>
      <c r="X62" s="161">
        <f t="shared" si="27"/>
        <v>122869119.15093827</v>
      </c>
      <c r="Y62" s="161">
        <f t="shared" si="27"/>
        <v>150310993.68659735</v>
      </c>
      <c r="Z62" s="161">
        <f t="shared" si="27"/>
        <v>143422871.89981091</v>
      </c>
      <c r="AA62" s="161">
        <f t="shared" si="27"/>
        <v>143778762.84234095</v>
      </c>
      <c r="AB62" s="161">
        <f t="shared" si="27"/>
        <v>133985873.17334127</v>
      </c>
      <c r="AC62" s="161">
        <f t="shared" si="27"/>
        <v>272327572.40122247</v>
      </c>
      <c r="AD62" s="161">
        <f t="shared" si="27"/>
        <v>285342176.75046825</v>
      </c>
      <c r="AE62" s="161">
        <f t="shared" si="27"/>
        <v>284309177.30364859</v>
      </c>
      <c r="AF62" s="161">
        <f t="shared" si="27"/>
        <v>283516980.87719321</v>
      </c>
      <c r="AG62" s="161">
        <f t="shared" si="27"/>
        <v>271041057.22465694</v>
      </c>
      <c r="AH62" s="161">
        <f t="shared" si="27"/>
        <v>261849273.8196038</v>
      </c>
      <c r="AI62" s="161">
        <f t="shared" si="27"/>
        <v>260902318.77569079</v>
      </c>
      <c r="AJ62" s="161">
        <f t="shared" si="27"/>
        <v>266838691.81752515</v>
      </c>
      <c r="AK62" s="161">
        <f t="shared" si="27"/>
        <v>376163773.31519485</v>
      </c>
      <c r="AL62" s="161">
        <f t="shared" si="27"/>
        <v>189683780.62645435</v>
      </c>
      <c r="AM62" s="161">
        <f t="shared" si="27"/>
        <v>219322211.13090503</v>
      </c>
      <c r="AN62" s="161">
        <f t="shared" si="27"/>
        <v>209051154.55182779</v>
      </c>
      <c r="AO62" s="161">
        <f t="shared" si="27"/>
        <v>238732517.07902586</v>
      </c>
      <c r="AP62" s="161">
        <f t="shared" si="27"/>
        <v>184128874.24137795</v>
      </c>
      <c r="AQ62" s="161">
        <f t="shared" si="27"/>
        <v>171479599.95253682</v>
      </c>
      <c r="AR62" s="161">
        <f t="shared" si="27"/>
        <v>188664407.46620798</v>
      </c>
      <c r="AS62" s="161">
        <f t="shared" si="27"/>
        <v>205849214.97987914</v>
      </c>
      <c r="AT62" s="220"/>
    </row>
    <row r="63" spans="11:46" x14ac:dyDescent="0.2"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223"/>
    </row>
    <row r="64" spans="11:46" x14ac:dyDescent="0.2">
      <c r="S64" s="159" t="str">
        <f>S32</f>
        <v>Fast change</v>
      </c>
      <c r="T64" s="162" t="str">
        <f>T$4</f>
        <v>2019-20</v>
      </c>
      <c r="U64" s="162" t="str">
        <f t="shared" ref="U64:AS64" si="28">U$4</f>
        <v>2020-21</v>
      </c>
      <c r="V64" s="162" t="str">
        <f t="shared" si="28"/>
        <v>2021-22</v>
      </c>
      <c r="W64" s="162" t="str">
        <f t="shared" si="28"/>
        <v>2022-23</v>
      </c>
      <c r="X64" s="162" t="str">
        <f t="shared" si="28"/>
        <v>2023-24</v>
      </c>
      <c r="Y64" s="162" t="str">
        <f t="shared" si="28"/>
        <v>2024-25</v>
      </c>
      <c r="Z64" s="162" t="str">
        <f t="shared" si="28"/>
        <v>2025-26</v>
      </c>
      <c r="AA64" s="162" t="str">
        <f t="shared" si="28"/>
        <v>2026-27</v>
      </c>
      <c r="AB64" s="162" t="str">
        <f t="shared" si="28"/>
        <v>2027-28</v>
      </c>
      <c r="AC64" s="162" t="str">
        <f t="shared" si="28"/>
        <v>2028-29</v>
      </c>
      <c r="AD64" s="162" t="str">
        <f t="shared" si="28"/>
        <v>2029-30</v>
      </c>
      <c r="AE64" s="162" t="str">
        <f t="shared" si="28"/>
        <v>2030-31</v>
      </c>
      <c r="AF64" s="162" t="str">
        <f t="shared" si="28"/>
        <v>2031-32</v>
      </c>
      <c r="AG64" s="162" t="str">
        <f t="shared" si="28"/>
        <v>2032-33</v>
      </c>
      <c r="AH64" s="162" t="str">
        <f t="shared" si="28"/>
        <v>2033-34</v>
      </c>
      <c r="AI64" s="162" t="str">
        <f t="shared" si="28"/>
        <v>2034-35</v>
      </c>
      <c r="AJ64" s="162" t="str">
        <f t="shared" si="28"/>
        <v>2035-36</v>
      </c>
      <c r="AK64" s="162" t="str">
        <f t="shared" si="28"/>
        <v>2036-37</v>
      </c>
      <c r="AL64" s="162" t="str">
        <f t="shared" si="28"/>
        <v>2037-38</v>
      </c>
      <c r="AM64" s="162" t="str">
        <f t="shared" si="28"/>
        <v>2038-39</v>
      </c>
      <c r="AN64" s="162" t="str">
        <f t="shared" si="28"/>
        <v>2039-40</v>
      </c>
      <c r="AO64" s="162" t="str">
        <f t="shared" si="28"/>
        <v>2040-41</v>
      </c>
      <c r="AP64" s="162" t="str">
        <f t="shared" si="28"/>
        <v>2041-42</v>
      </c>
      <c r="AQ64" s="162" t="str">
        <f t="shared" si="28"/>
        <v>2042-43</v>
      </c>
      <c r="AR64" s="162" t="str">
        <f t="shared" si="28"/>
        <v>2043-44</v>
      </c>
      <c r="AS64" s="162" t="str">
        <f t="shared" si="28"/>
        <v>2044-45</v>
      </c>
      <c r="AT64" s="172"/>
    </row>
    <row r="65" spans="10:49" x14ac:dyDescent="0.2">
      <c r="S65" s="160" t="str">
        <f>$K$7</f>
        <v>Avoided unserved energy</v>
      </c>
      <c r="T65" s="161">
        <f>T33</f>
        <v>0</v>
      </c>
      <c r="U65" s="161">
        <f>T65+U33</f>
        <v>-0.23027434945106506</v>
      </c>
      <c r="V65" s="161">
        <f t="shared" ref="V65:AS65" si="29">U65+V33</f>
        <v>-2923522.4704210516</v>
      </c>
      <c r="W65" s="161">
        <f t="shared" si="29"/>
        <v>-1882409.7962490749</v>
      </c>
      <c r="X65" s="161">
        <f t="shared" si="29"/>
        <v>-7649898.9997349512</v>
      </c>
      <c r="Y65" s="161">
        <f t="shared" si="29"/>
        <v>-22186323.472562566</v>
      </c>
      <c r="Z65" s="161">
        <f t="shared" si="29"/>
        <v>-22186320.819933057</v>
      </c>
      <c r="AA65" s="161">
        <f t="shared" si="29"/>
        <v>-22186318.010957465</v>
      </c>
      <c r="AB65" s="161">
        <f t="shared" si="29"/>
        <v>-22176739.064090125</v>
      </c>
      <c r="AC65" s="161">
        <f t="shared" si="29"/>
        <v>-22176735.91229701</v>
      </c>
      <c r="AD65" s="161">
        <f t="shared" si="29"/>
        <v>-22321126.529498763</v>
      </c>
      <c r="AE65" s="161">
        <f t="shared" si="29"/>
        <v>-19537184.073388964</v>
      </c>
      <c r="AF65" s="161">
        <f t="shared" si="29"/>
        <v>-19777906.566086188</v>
      </c>
      <c r="AG65" s="161">
        <f t="shared" si="29"/>
        <v>-22056899.141892463</v>
      </c>
      <c r="AH65" s="161">
        <f t="shared" si="29"/>
        <v>-23467881.046762206</v>
      </c>
      <c r="AI65" s="161">
        <f t="shared" si="29"/>
        <v>-23430045.900005426</v>
      </c>
      <c r="AJ65" s="161">
        <f t="shared" si="29"/>
        <v>-32235353.175169494</v>
      </c>
      <c r="AK65" s="161">
        <f t="shared" si="29"/>
        <v>-32235348.192250188</v>
      </c>
      <c r="AL65" s="161">
        <f t="shared" si="29"/>
        <v>-32235342.915404476</v>
      </c>
      <c r="AM65" s="161">
        <f t="shared" si="29"/>
        <v>-33010829.94933125</v>
      </c>
      <c r="AN65" s="161">
        <f t="shared" si="29"/>
        <v>-39211567.159366414</v>
      </c>
      <c r="AO65" s="161">
        <f t="shared" si="29"/>
        <v>-43621376.917678073</v>
      </c>
      <c r="AP65" s="161">
        <f t="shared" si="29"/>
        <v>-70934709.046065286</v>
      </c>
      <c r="AQ65" s="161">
        <f t="shared" si="29"/>
        <v>-71972035.580112323</v>
      </c>
      <c r="AR65" s="161">
        <f t="shared" si="29"/>
        <v>-69463471.268788368</v>
      </c>
      <c r="AS65" s="161">
        <f t="shared" si="29"/>
        <v>-66954906.957464412</v>
      </c>
      <c r="AT65" s="220"/>
    </row>
    <row r="66" spans="10:49" x14ac:dyDescent="0.2">
      <c r="S66" s="160" t="str">
        <f>$K$8</f>
        <v>Avoided REZ transmission capex</v>
      </c>
      <c r="T66" s="161">
        <f t="shared" ref="T66:T69" si="30">T34</f>
        <v>0</v>
      </c>
      <c r="U66" s="161">
        <f t="shared" ref="U66:AS66" si="31">T66+U34</f>
        <v>24.649339110506361</v>
      </c>
      <c r="V66" s="161">
        <f t="shared" si="31"/>
        <v>25.586474921017011</v>
      </c>
      <c r="W66" s="161">
        <f t="shared" si="31"/>
        <v>-13710899.179760758</v>
      </c>
      <c r="X66" s="161">
        <f t="shared" si="31"/>
        <v>9043335.3372932784</v>
      </c>
      <c r="Y66" s="161">
        <f t="shared" si="31"/>
        <v>18857622.774539601</v>
      </c>
      <c r="Z66" s="161">
        <f t="shared" si="31"/>
        <v>48991871.717496157</v>
      </c>
      <c r="AA66" s="161">
        <f t="shared" si="31"/>
        <v>48035953.70429939</v>
      </c>
      <c r="AB66" s="161">
        <f t="shared" si="31"/>
        <v>37598943.992963254</v>
      </c>
      <c r="AC66" s="161">
        <f t="shared" si="31"/>
        <v>51586761.226596653</v>
      </c>
      <c r="AD66" s="161">
        <f t="shared" si="31"/>
        <v>41626401.013401866</v>
      </c>
      <c r="AE66" s="161">
        <f t="shared" si="31"/>
        <v>44984467.408836186</v>
      </c>
      <c r="AF66" s="161">
        <f t="shared" si="31"/>
        <v>53480131.496814251</v>
      </c>
      <c r="AG66" s="161">
        <f t="shared" si="31"/>
        <v>64990541.042913914</v>
      </c>
      <c r="AH66" s="161">
        <f t="shared" si="31"/>
        <v>56285632.139625907</v>
      </c>
      <c r="AI66" s="161">
        <f t="shared" si="31"/>
        <v>56285664.226643994</v>
      </c>
      <c r="AJ66" s="161">
        <f t="shared" si="31"/>
        <v>44758230.679726794</v>
      </c>
      <c r="AK66" s="161">
        <f t="shared" si="31"/>
        <v>33085137.882456794</v>
      </c>
      <c r="AL66" s="161">
        <f t="shared" si="31"/>
        <v>28649626.622849807</v>
      </c>
      <c r="AM66" s="161">
        <f t="shared" si="31"/>
        <v>21180876.00293912</v>
      </c>
      <c r="AN66" s="161">
        <f t="shared" si="31"/>
        <v>36955187.120591894</v>
      </c>
      <c r="AO66" s="161">
        <f t="shared" si="31"/>
        <v>48334137.745191231</v>
      </c>
      <c r="AP66" s="161">
        <f t="shared" si="31"/>
        <v>35103525.534956351</v>
      </c>
      <c r="AQ66" s="161">
        <f t="shared" si="31"/>
        <v>35103525.534956351</v>
      </c>
      <c r="AR66" s="161">
        <f t="shared" si="31"/>
        <v>65366616.050586715</v>
      </c>
      <c r="AS66" s="161">
        <f t="shared" si="31"/>
        <v>95629706.56621708</v>
      </c>
      <c r="AT66" s="220"/>
    </row>
    <row r="67" spans="10:49" x14ac:dyDescent="0.2">
      <c r="S67" s="160" t="str">
        <f>$K$9</f>
        <v>Avoided fuel costs</v>
      </c>
      <c r="T67" s="161">
        <f t="shared" si="30"/>
        <v>0</v>
      </c>
      <c r="U67" s="161">
        <f t="shared" ref="U67:AS67" si="32">T67+U35</f>
        <v>9.6967425346374512</v>
      </c>
      <c r="V67" s="161">
        <f t="shared" si="32"/>
        <v>-76692.896145343781</v>
      </c>
      <c r="W67" s="161">
        <f t="shared" si="32"/>
        <v>7904943.2829785347</v>
      </c>
      <c r="X67" s="161">
        <f t="shared" si="32"/>
        <v>5390929.8899292946</v>
      </c>
      <c r="Y67" s="161">
        <f t="shared" si="32"/>
        <v>634958.40994787216</v>
      </c>
      <c r="Z67" s="161">
        <f t="shared" si="32"/>
        <v>752141.55120563507</v>
      </c>
      <c r="AA67" s="161">
        <f t="shared" si="32"/>
        <v>2668208.838447094</v>
      </c>
      <c r="AB67" s="161">
        <f t="shared" si="32"/>
        <v>289182.54215049744</v>
      </c>
      <c r="AC67" s="161">
        <f t="shared" si="32"/>
        <v>3176111.8326406479</v>
      </c>
      <c r="AD67" s="161">
        <f t="shared" si="32"/>
        <v>5651188.9498221874</v>
      </c>
      <c r="AE67" s="161">
        <f t="shared" si="32"/>
        <v>12790549.691235304</v>
      </c>
      <c r="AF67" s="161">
        <f t="shared" si="32"/>
        <v>21418717.555733204</v>
      </c>
      <c r="AG67" s="161">
        <f t="shared" si="32"/>
        <v>26702398.47734499</v>
      </c>
      <c r="AH67" s="161">
        <f t="shared" si="32"/>
        <v>38227501.64334631</v>
      </c>
      <c r="AI67" s="161">
        <f t="shared" si="32"/>
        <v>36245748.812059641</v>
      </c>
      <c r="AJ67" s="161">
        <f t="shared" si="32"/>
        <v>37880417.553472281</v>
      </c>
      <c r="AK67" s="161">
        <f t="shared" si="32"/>
        <v>48842316.904426336</v>
      </c>
      <c r="AL67" s="161">
        <f t="shared" si="32"/>
        <v>63286869.662954807</v>
      </c>
      <c r="AM67" s="161">
        <f t="shared" si="32"/>
        <v>81588994.064352512</v>
      </c>
      <c r="AN67" s="161">
        <f t="shared" si="32"/>
        <v>118734416.46294236</v>
      </c>
      <c r="AO67" s="161">
        <f t="shared" si="32"/>
        <v>158621120.03973579</v>
      </c>
      <c r="AP67" s="161">
        <f t="shared" si="32"/>
        <v>198553125.52428412</v>
      </c>
      <c r="AQ67" s="161">
        <f t="shared" si="32"/>
        <v>220234752.71522832</v>
      </c>
      <c r="AR67" s="161">
        <f t="shared" si="32"/>
        <v>275454380.65526652</v>
      </c>
      <c r="AS67" s="161">
        <f t="shared" si="32"/>
        <v>330674008.59530473</v>
      </c>
      <c r="AT67" s="220"/>
      <c r="AU67" s="182"/>
      <c r="AV67" s="182"/>
      <c r="AW67" s="182"/>
    </row>
    <row r="68" spans="10:49" x14ac:dyDescent="0.2">
      <c r="S68" s="160" t="str">
        <f>$K$10</f>
        <v>Avoided voluntary load curtailment</v>
      </c>
      <c r="T68" s="161">
        <f t="shared" si="30"/>
        <v>0</v>
      </c>
      <c r="U68" s="161">
        <f t="shared" ref="U68:AS68" si="33">T68+U36</f>
        <v>2.2028702099341899</v>
      </c>
      <c r="V68" s="161">
        <f t="shared" si="33"/>
        <v>4.4729384344536811</v>
      </c>
      <c r="W68" s="161">
        <f t="shared" si="33"/>
        <v>3407.9922583734151</v>
      </c>
      <c r="X68" s="161">
        <f t="shared" si="33"/>
        <v>-27993.854413835681</v>
      </c>
      <c r="Y68" s="161">
        <f t="shared" si="33"/>
        <v>-154439.76270213153</v>
      </c>
      <c r="Z68" s="161">
        <f t="shared" si="33"/>
        <v>-154436.76279472333</v>
      </c>
      <c r="AA68" s="161">
        <f t="shared" si="33"/>
        <v>-300717.39688204811</v>
      </c>
      <c r="AB68" s="161">
        <f t="shared" si="33"/>
        <v>-304863.24953372916</v>
      </c>
      <c r="AC68" s="161">
        <f t="shared" si="33"/>
        <v>-300139.71352546616</v>
      </c>
      <c r="AD68" s="161">
        <f t="shared" si="33"/>
        <v>-297326.84664238477</v>
      </c>
      <c r="AE68" s="161">
        <f t="shared" si="33"/>
        <v>164781.07018832001</v>
      </c>
      <c r="AF68" s="161">
        <f t="shared" si="33"/>
        <v>934766.62864417746</v>
      </c>
      <c r="AG68" s="161">
        <f t="shared" si="33"/>
        <v>1182007.4397101847</v>
      </c>
      <c r="AH68" s="161">
        <f t="shared" si="33"/>
        <v>1545463.3044072941</v>
      </c>
      <c r="AI68" s="161">
        <f t="shared" si="33"/>
        <v>1756598.8725351735</v>
      </c>
      <c r="AJ68" s="161">
        <f t="shared" si="33"/>
        <v>2009188.5595838313</v>
      </c>
      <c r="AK68" s="161">
        <f t="shared" si="33"/>
        <v>2187282.2163105779</v>
      </c>
      <c r="AL68" s="161">
        <f t="shared" si="33"/>
        <v>2080116.8442679395</v>
      </c>
      <c r="AM68" s="161">
        <f t="shared" si="33"/>
        <v>2154177.1968637761</v>
      </c>
      <c r="AN68" s="161">
        <f t="shared" si="33"/>
        <v>242069.45669305511</v>
      </c>
      <c r="AO68" s="161">
        <f t="shared" si="33"/>
        <v>-47863.045010112226</v>
      </c>
      <c r="AP68" s="161">
        <f t="shared" si="33"/>
        <v>-783273.17013936676</v>
      </c>
      <c r="AQ68" s="161">
        <f t="shared" si="33"/>
        <v>-1598942.4831930697</v>
      </c>
      <c r="AR68" s="161">
        <f t="shared" si="33"/>
        <v>-4415611.3556193709</v>
      </c>
      <c r="AS68" s="161">
        <f t="shared" si="33"/>
        <v>-7232280.2280456722</v>
      </c>
      <c r="AT68" s="220"/>
      <c r="AU68" s="182"/>
      <c r="AV68" s="182"/>
      <c r="AW68" s="182"/>
    </row>
    <row r="69" spans="10:49" x14ac:dyDescent="0.2">
      <c r="J69" s="157"/>
      <c r="S69" s="160" t="str">
        <f>$K$11</f>
        <v>Avoided generation/storage costs (excl. fuel costs)</v>
      </c>
      <c r="T69" s="161">
        <f t="shared" si="30"/>
        <v>0</v>
      </c>
      <c r="U69" s="161">
        <f t="shared" ref="U69:AS69" si="34">T69+U37</f>
        <v>838.38529396057129</v>
      </c>
      <c r="V69" s="161">
        <f t="shared" si="34"/>
        <v>33068859.476949215</v>
      </c>
      <c r="W69" s="161">
        <f t="shared" si="34"/>
        <v>189060113.44178391</v>
      </c>
      <c r="X69" s="161">
        <f t="shared" si="34"/>
        <v>366129377.55117702</v>
      </c>
      <c r="Y69" s="161">
        <f t="shared" si="34"/>
        <v>316006079.59779263</v>
      </c>
      <c r="Z69" s="161">
        <f t="shared" si="34"/>
        <v>253771592.80360699</v>
      </c>
      <c r="AA69" s="161">
        <f t="shared" si="34"/>
        <v>220329698.4936347</v>
      </c>
      <c r="AB69" s="161">
        <f t="shared" si="34"/>
        <v>274258450.58220625</v>
      </c>
      <c r="AC69" s="161">
        <f t="shared" si="34"/>
        <v>208942026.49255514</v>
      </c>
      <c r="AD69" s="161">
        <f t="shared" si="34"/>
        <v>176206866.8826499</v>
      </c>
      <c r="AE69" s="161">
        <f t="shared" si="34"/>
        <v>88451468.961995602</v>
      </c>
      <c r="AF69" s="161">
        <f t="shared" si="34"/>
        <v>258565846.62508154</v>
      </c>
      <c r="AG69" s="161">
        <f t="shared" si="34"/>
        <v>289547099.15528202</v>
      </c>
      <c r="AH69" s="161">
        <f t="shared" si="34"/>
        <v>248250343.37482929</v>
      </c>
      <c r="AI69" s="161">
        <f t="shared" si="34"/>
        <v>333028053.5748291</v>
      </c>
      <c r="AJ69" s="161">
        <f t="shared" si="34"/>
        <v>493591410.19047546</v>
      </c>
      <c r="AK69" s="161">
        <f t="shared" si="34"/>
        <v>394247943.52587414</v>
      </c>
      <c r="AL69" s="161">
        <f t="shared" si="34"/>
        <v>378595404.87521458</v>
      </c>
      <c r="AM69" s="161">
        <f t="shared" si="34"/>
        <v>341016415.46585608</v>
      </c>
      <c r="AN69" s="161">
        <f t="shared" si="34"/>
        <v>499968303.52950716</v>
      </c>
      <c r="AO69" s="161">
        <f t="shared" si="34"/>
        <v>517970652.3536973</v>
      </c>
      <c r="AP69" s="161">
        <f t="shared" si="34"/>
        <v>654083571.27062511</v>
      </c>
      <c r="AQ69" s="161">
        <f t="shared" si="34"/>
        <v>640760877.9062531</v>
      </c>
      <c r="AR69" s="161">
        <f t="shared" si="34"/>
        <v>612529140.678478</v>
      </c>
      <c r="AS69" s="161">
        <f t="shared" si="34"/>
        <v>584297403.45070291</v>
      </c>
      <c r="AT69" s="220"/>
      <c r="AU69" s="182"/>
      <c r="AV69" s="182"/>
      <c r="AW69" s="182"/>
    </row>
    <row r="70" spans="10:49" x14ac:dyDescent="0.2"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223"/>
      <c r="AU70" s="182"/>
      <c r="AV70" s="182"/>
      <c r="AW70" s="182"/>
    </row>
    <row r="71" spans="10:49" x14ac:dyDescent="0.2">
      <c r="T71" s="156">
        <f>BaseYear</f>
        <v>2019</v>
      </c>
      <c r="AU71" s="182"/>
      <c r="AV71" s="182"/>
      <c r="AW71" s="182"/>
    </row>
    <row r="72" spans="10:49" x14ac:dyDescent="0.2">
      <c r="S72" s="158" t="s">
        <v>139</v>
      </c>
      <c r="T72" s="158"/>
      <c r="U72" s="158"/>
      <c r="V72" s="158" t="s">
        <v>122</v>
      </c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74"/>
      <c r="AU72" s="182"/>
      <c r="AV72" s="182"/>
      <c r="AW72" s="182"/>
    </row>
    <row r="73" spans="10:49" x14ac:dyDescent="0.2">
      <c r="S73" s="159" t="s">
        <v>131</v>
      </c>
      <c r="T73" s="176">
        <v>1</v>
      </c>
      <c r="U73" s="176">
        <v>0.94428706326723333</v>
      </c>
      <c r="V73" s="176">
        <v>0.89167805785385579</v>
      </c>
      <c r="W73" s="176">
        <v>0.84200005463064764</v>
      </c>
      <c r="X73" s="176">
        <v>0.79508975885802413</v>
      </c>
      <c r="Y73" s="176">
        <v>0.75079297342589635</v>
      </c>
      <c r="Z73" s="176">
        <v>0.70896409199801358</v>
      </c>
      <c r="AA73" s="176">
        <v>0.66946562039472479</v>
      </c>
      <c r="AB73" s="176">
        <v>0.63216772464091109</v>
      </c>
      <c r="AC73" s="176">
        <v>0.59694780419349491</v>
      </c>
      <c r="AD73" s="176">
        <v>0.56369008894569872</v>
      </c>
      <c r="AE73" s="176">
        <v>0.53228525868337928</v>
      </c>
      <c r="AF73" s="176">
        <v>0.50263008374256779</v>
      </c>
      <c r="AG73" s="176">
        <v>0.47462708568703288</v>
      </c>
      <c r="AH73" s="176">
        <v>0.44818421689049381</v>
      </c>
      <c r="AI73" s="176">
        <v>0.42321455797024909</v>
      </c>
      <c r="AJ73" s="176">
        <v>0.39963603207766679</v>
      </c>
      <c r="AK73" s="176">
        <v>0.37737113510638981</v>
      </c>
      <c r="AL73" s="176">
        <v>0.35634668093143512</v>
      </c>
      <c r="AM73" s="176">
        <v>0.33649356084177068</v>
      </c>
      <c r="AN73" s="176">
        <v>0.31774651637560969</v>
      </c>
      <c r="AO73" s="176">
        <v>0.30004392481171832</v>
      </c>
      <c r="AP73" s="176">
        <v>0.28332759661163209</v>
      </c>
      <c r="AQ73" s="176">
        <v>0.2675425841469613</v>
      </c>
      <c r="AR73" s="176">
        <v>0.25263700108306075</v>
      </c>
      <c r="AS73" s="176">
        <v>0.2385618518253643</v>
      </c>
      <c r="AT73" s="222"/>
      <c r="AU73" s="182"/>
      <c r="AV73" s="182"/>
      <c r="AW73" s="182"/>
    </row>
    <row r="74" spans="10:49" x14ac:dyDescent="0.2">
      <c r="AU74" s="182"/>
      <c r="AV74" s="182"/>
      <c r="AW74" s="182"/>
    </row>
    <row r="75" spans="10:49" x14ac:dyDescent="0.2">
      <c r="S75" s="159" t="str">
        <f>S11</f>
        <v>Neutral</v>
      </c>
      <c r="T75" s="162" t="str">
        <f>T$4</f>
        <v>2019-20</v>
      </c>
      <c r="U75" s="162" t="str">
        <f t="shared" ref="U75:AS75" si="35">U$4</f>
        <v>2020-21</v>
      </c>
      <c r="V75" s="162" t="str">
        <f t="shared" si="35"/>
        <v>2021-22</v>
      </c>
      <c r="W75" s="162" t="str">
        <f t="shared" si="35"/>
        <v>2022-23</v>
      </c>
      <c r="X75" s="162" t="str">
        <f t="shared" si="35"/>
        <v>2023-24</v>
      </c>
      <c r="Y75" s="162" t="str">
        <f t="shared" si="35"/>
        <v>2024-25</v>
      </c>
      <c r="Z75" s="162" t="str">
        <f t="shared" si="35"/>
        <v>2025-26</v>
      </c>
      <c r="AA75" s="162" t="str">
        <f t="shared" si="35"/>
        <v>2026-27</v>
      </c>
      <c r="AB75" s="162" t="str">
        <f t="shared" si="35"/>
        <v>2027-28</v>
      </c>
      <c r="AC75" s="162" t="str">
        <f t="shared" si="35"/>
        <v>2028-29</v>
      </c>
      <c r="AD75" s="162" t="str">
        <f t="shared" si="35"/>
        <v>2029-30</v>
      </c>
      <c r="AE75" s="162" t="str">
        <f t="shared" si="35"/>
        <v>2030-31</v>
      </c>
      <c r="AF75" s="162" t="str">
        <f t="shared" si="35"/>
        <v>2031-32</v>
      </c>
      <c r="AG75" s="162" t="str">
        <f t="shared" si="35"/>
        <v>2032-33</v>
      </c>
      <c r="AH75" s="162" t="str">
        <f t="shared" si="35"/>
        <v>2033-34</v>
      </c>
      <c r="AI75" s="162" t="str">
        <f t="shared" si="35"/>
        <v>2034-35</v>
      </c>
      <c r="AJ75" s="162" t="str">
        <f t="shared" si="35"/>
        <v>2035-36</v>
      </c>
      <c r="AK75" s="162" t="str">
        <f t="shared" si="35"/>
        <v>2036-37</v>
      </c>
      <c r="AL75" s="162" t="str">
        <f t="shared" si="35"/>
        <v>2037-38</v>
      </c>
      <c r="AM75" s="162" t="str">
        <f t="shared" si="35"/>
        <v>2038-39</v>
      </c>
      <c r="AN75" s="162" t="str">
        <f t="shared" si="35"/>
        <v>2039-40</v>
      </c>
      <c r="AO75" s="162" t="str">
        <f t="shared" si="35"/>
        <v>2040-41</v>
      </c>
      <c r="AP75" s="162" t="str">
        <f t="shared" si="35"/>
        <v>2041-42</v>
      </c>
      <c r="AQ75" s="162" t="str">
        <f t="shared" si="35"/>
        <v>2042-43</v>
      </c>
      <c r="AR75" s="162" t="str">
        <f t="shared" si="35"/>
        <v>2043-44</v>
      </c>
      <c r="AS75" s="162" t="str">
        <f t="shared" si="35"/>
        <v>2044-45</v>
      </c>
      <c r="AT75" s="172"/>
      <c r="AU75" s="182"/>
      <c r="AV75" s="182"/>
      <c r="AW75" s="182"/>
    </row>
    <row r="76" spans="10:49" x14ac:dyDescent="0.2">
      <c r="S76" s="160" t="str">
        <f>$K$7</f>
        <v>Avoided unserved energy</v>
      </c>
      <c r="T76" s="161">
        <f>T12*T$73</f>
        <v>0</v>
      </c>
      <c r="U76" s="161">
        <f t="shared" ref="U76:AS76" si="36">U12*U$73+T76</f>
        <v>0.35714287439676057</v>
      </c>
      <c r="V76" s="161">
        <f t="shared" si="36"/>
        <v>-0.4095207187013456</v>
      </c>
      <c r="W76" s="161">
        <f t="shared" si="36"/>
        <v>-441205.69527557067</v>
      </c>
      <c r="X76" s="161">
        <f t="shared" si="36"/>
        <v>7600264.1857938292</v>
      </c>
      <c r="Y76" s="161">
        <f t="shared" si="36"/>
        <v>11509923.004386123</v>
      </c>
      <c r="Z76" s="161">
        <f t="shared" si="36"/>
        <v>11509923.735502031</v>
      </c>
      <c r="AA76" s="161">
        <f t="shared" si="36"/>
        <v>11509924.46660517</v>
      </c>
      <c r="AB76" s="161">
        <f t="shared" si="36"/>
        <v>11509925.199796628</v>
      </c>
      <c r="AC76" s="161">
        <f t="shared" si="36"/>
        <v>9431665.2264807262</v>
      </c>
      <c r="AD76" s="161">
        <f t="shared" si="36"/>
        <v>9124032.2595628984</v>
      </c>
      <c r="AE76" s="161">
        <f t="shared" si="36"/>
        <v>9544205.5248558354</v>
      </c>
      <c r="AF76" s="161">
        <f t="shared" si="36"/>
        <v>9436844.9864591695</v>
      </c>
      <c r="AG76" s="161">
        <f t="shared" si="36"/>
        <v>9524095.3998956326</v>
      </c>
      <c r="AH76" s="161">
        <f t="shared" si="36"/>
        <v>8147385.0007099165</v>
      </c>
      <c r="AI76" s="161">
        <f t="shared" si="36"/>
        <v>8574081.6721049547</v>
      </c>
      <c r="AJ76" s="161">
        <f t="shared" si="36"/>
        <v>9447982.2264814749</v>
      </c>
      <c r="AK76" s="161">
        <f t="shared" si="36"/>
        <v>9447982.9550468717</v>
      </c>
      <c r="AL76" s="161">
        <f t="shared" si="36"/>
        <v>9447983.6827038359</v>
      </c>
      <c r="AM76" s="161">
        <f t="shared" si="36"/>
        <v>9447969.9749574158</v>
      </c>
      <c r="AN76" s="161">
        <f t="shared" si="36"/>
        <v>11937372.970656861</v>
      </c>
      <c r="AO76" s="161">
        <f t="shared" si="36"/>
        <v>8607077.1103908494</v>
      </c>
      <c r="AP76" s="161">
        <f t="shared" si="36"/>
        <v>7860901.1749134772</v>
      </c>
      <c r="AQ76" s="161">
        <f t="shared" si="36"/>
        <v>7621179.0884695444</v>
      </c>
      <c r="AR76" s="161">
        <f t="shared" si="36"/>
        <v>6847939.8046539892</v>
      </c>
      <c r="AS76" s="161">
        <f t="shared" si="36"/>
        <v>6117779.9521369394</v>
      </c>
      <c r="AT76" s="220"/>
      <c r="AU76" s="182"/>
      <c r="AV76" s="182"/>
      <c r="AW76" s="182"/>
    </row>
    <row r="77" spans="10:49" x14ac:dyDescent="0.2">
      <c r="S77" s="160" t="str">
        <f>$K$8</f>
        <v>Avoided REZ transmission capex</v>
      </c>
      <c r="T77" s="161">
        <f>T13*T$73</f>
        <v>0</v>
      </c>
      <c r="U77" s="161">
        <f t="shared" ref="U77:AS77" si="37">U13*U$73+T77</f>
        <v>8.7143599235353264</v>
      </c>
      <c r="V77" s="161">
        <f t="shared" si="37"/>
        <v>9.3998293956007775</v>
      </c>
      <c r="W77" s="161">
        <f t="shared" si="37"/>
        <v>10.084092838963057</v>
      </c>
      <c r="X77" s="161">
        <f t="shared" si="37"/>
        <v>11.411872329729569</v>
      </c>
      <c r="Y77" s="161">
        <f t="shared" si="37"/>
        <v>12.28752091230947</v>
      </c>
      <c r="Z77" s="161">
        <f t="shared" si="37"/>
        <v>13.135842473459988</v>
      </c>
      <c r="AA77" s="161">
        <f t="shared" si="37"/>
        <v>14.051577920528969</v>
      </c>
      <c r="AB77" s="161">
        <f t="shared" si="37"/>
        <v>15.391113942563551</v>
      </c>
      <c r="AC77" s="161">
        <f t="shared" si="37"/>
        <v>20714221.174458306</v>
      </c>
      <c r="AD77" s="161">
        <f t="shared" si="37"/>
        <v>20714223.48183031</v>
      </c>
      <c r="AE77" s="161">
        <f t="shared" si="37"/>
        <v>20714223.67688049</v>
      </c>
      <c r="AF77" s="161">
        <f t="shared" si="37"/>
        <v>22673289.032529995</v>
      </c>
      <c r="AG77" s="161">
        <f t="shared" si="37"/>
        <v>18136403.699731879</v>
      </c>
      <c r="AH77" s="161">
        <f t="shared" si="37"/>
        <v>22013005.489765886</v>
      </c>
      <c r="AI77" s="161">
        <f t="shared" si="37"/>
        <v>22013005.489765886</v>
      </c>
      <c r="AJ77" s="161">
        <f t="shared" si="37"/>
        <v>36017702.894100592</v>
      </c>
      <c r="AK77" s="161">
        <f t="shared" si="37"/>
        <v>34992260.246109717</v>
      </c>
      <c r="AL77" s="161">
        <f t="shared" si="37"/>
        <v>34992260.375010803</v>
      </c>
      <c r="AM77" s="161">
        <f t="shared" si="37"/>
        <v>34992260.903898306</v>
      </c>
      <c r="AN77" s="161">
        <f t="shared" si="37"/>
        <v>30862785.506482888</v>
      </c>
      <c r="AO77" s="161">
        <f t="shared" si="37"/>
        <v>29500314.665847182</v>
      </c>
      <c r="AP77" s="161">
        <f t="shared" si="37"/>
        <v>29500315.589727253</v>
      </c>
      <c r="AQ77" s="161">
        <f t="shared" si="37"/>
        <v>32965381.818603903</v>
      </c>
      <c r="AR77" s="161">
        <f t="shared" si="37"/>
        <v>23807357.425615221</v>
      </c>
      <c r="AS77" s="161">
        <f t="shared" si="37"/>
        <v>15159553.466230251</v>
      </c>
      <c r="AT77" s="220"/>
      <c r="AU77" s="182"/>
      <c r="AV77" s="182"/>
      <c r="AW77" s="182"/>
    </row>
    <row r="78" spans="10:49" x14ac:dyDescent="0.2">
      <c r="S78" s="160" t="str">
        <f>$K$9</f>
        <v>Avoided fuel costs</v>
      </c>
      <c r="T78" s="161">
        <f>T14*T$73</f>
        <v>0</v>
      </c>
      <c r="U78" s="161">
        <f t="shared" ref="U78:AS78" si="38">U14*U$73+T78</f>
        <v>-19.13547335760677</v>
      </c>
      <c r="V78" s="161">
        <f t="shared" si="38"/>
        <v>33864.709502132981</v>
      </c>
      <c r="W78" s="161">
        <f t="shared" si="38"/>
        <v>4758426.7875920543</v>
      </c>
      <c r="X78" s="161">
        <f t="shared" si="38"/>
        <v>9739231.0717289522</v>
      </c>
      <c r="Y78" s="161">
        <f t="shared" si="38"/>
        <v>14816625.738945823</v>
      </c>
      <c r="Z78" s="161">
        <f t="shared" si="38"/>
        <v>22014904.999021143</v>
      </c>
      <c r="AA78" s="161">
        <f t="shared" si="38"/>
        <v>26994230.552720293</v>
      </c>
      <c r="AB78" s="161">
        <f t="shared" si="38"/>
        <v>32596518.53094168</v>
      </c>
      <c r="AC78" s="161">
        <f t="shared" si="38"/>
        <v>30111155.503376778</v>
      </c>
      <c r="AD78" s="161">
        <f t="shared" si="38"/>
        <v>23947615.944741189</v>
      </c>
      <c r="AE78" s="161">
        <f t="shared" si="38"/>
        <v>16908283.110054128</v>
      </c>
      <c r="AF78" s="161">
        <f t="shared" si="38"/>
        <v>12406632.629977195</v>
      </c>
      <c r="AG78" s="161">
        <f t="shared" si="38"/>
        <v>18137638.731220819</v>
      </c>
      <c r="AH78" s="161">
        <f t="shared" si="38"/>
        <v>19069067.913061932</v>
      </c>
      <c r="AI78" s="161">
        <f t="shared" si="38"/>
        <v>11061844.47531971</v>
      </c>
      <c r="AJ78" s="161">
        <f t="shared" si="38"/>
        <v>6358957.3954346934</v>
      </c>
      <c r="AK78" s="161">
        <f t="shared" si="38"/>
        <v>13383621.555541581</v>
      </c>
      <c r="AL78" s="161">
        <f t="shared" si="38"/>
        <v>18298775.895468116</v>
      </c>
      <c r="AM78" s="161">
        <f t="shared" si="38"/>
        <v>20790939.58397067</v>
      </c>
      <c r="AN78" s="161">
        <f t="shared" si="38"/>
        <v>24631843.343370363</v>
      </c>
      <c r="AO78" s="161">
        <f t="shared" si="38"/>
        <v>32720150.327527598</v>
      </c>
      <c r="AP78" s="161">
        <f t="shared" si="38"/>
        <v>36113448.346188977</v>
      </c>
      <c r="AQ78" s="161">
        <f t="shared" si="38"/>
        <v>34446652.184475161</v>
      </c>
      <c r="AR78" s="161">
        <f t="shared" si="38"/>
        <v>47846861.930445321</v>
      </c>
      <c r="AS78" s="161">
        <f t="shared" si="38"/>
        <v>60500506.638632447</v>
      </c>
      <c r="AT78" s="220"/>
      <c r="AU78" s="182"/>
      <c r="AV78" s="182"/>
      <c r="AW78" s="182"/>
    </row>
    <row r="79" spans="10:49" x14ac:dyDescent="0.2">
      <c r="J79" s="157"/>
      <c r="S79" s="160" t="str">
        <f>$K$10</f>
        <v>Avoided voluntary load curtailment</v>
      </c>
      <c r="T79" s="161">
        <f>T15*T$73</f>
        <v>0</v>
      </c>
      <c r="U79" s="161">
        <f t="shared" ref="U79:AS79" si="39">U15*U$73+T79</f>
        <v>2.3197219339907313</v>
      </c>
      <c r="V79" s="161">
        <f t="shared" si="39"/>
        <v>4.6595213702307898</v>
      </c>
      <c r="W79" s="161">
        <f t="shared" si="39"/>
        <v>129083.26101304816</v>
      </c>
      <c r="X79" s="161">
        <f t="shared" si="39"/>
        <v>264765.48101194313</v>
      </c>
      <c r="Y79" s="161">
        <f t="shared" si="39"/>
        <v>288727.89100513025</v>
      </c>
      <c r="Z79" s="161">
        <f t="shared" si="39"/>
        <v>288730.27203836065</v>
      </c>
      <c r="AA79" s="161">
        <f t="shared" si="39"/>
        <v>290646.1966044135</v>
      </c>
      <c r="AB79" s="161">
        <f t="shared" si="39"/>
        <v>291617.72922017932</v>
      </c>
      <c r="AC79" s="161">
        <f t="shared" si="39"/>
        <v>318506.04278569482</v>
      </c>
      <c r="AD79" s="161">
        <f t="shared" si="39"/>
        <v>322364.6439191408</v>
      </c>
      <c r="AE79" s="161">
        <f t="shared" si="39"/>
        <v>314930.96477686818</v>
      </c>
      <c r="AF79" s="161">
        <f t="shared" si="39"/>
        <v>322789.75910330046</v>
      </c>
      <c r="AG79" s="161">
        <f t="shared" si="39"/>
        <v>686832.50676111551</v>
      </c>
      <c r="AH79" s="161">
        <f t="shared" si="39"/>
        <v>870725.592955461</v>
      </c>
      <c r="AI79" s="161">
        <f t="shared" si="39"/>
        <v>1311759.3264938737</v>
      </c>
      <c r="AJ79" s="161">
        <f t="shared" si="39"/>
        <v>2123960.1720441086</v>
      </c>
      <c r="AK79" s="161">
        <f t="shared" si="39"/>
        <v>2123960.1847538818</v>
      </c>
      <c r="AL79" s="161">
        <f t="shared" si="39"/>
        <v>2106081.020120963</v>
      </c>
      <c r="AM79" s="161">
        <f t="shared" si="39"/>
        <v>1987947.6218734276</v>
      </c>
      <c r="AN79" s="161">
        <f t="shared" si="39"/>
        <v>3749224.1977532981</v>
      </c>
      <c r="AO79" s="161">
        <f t="shared" si="39"/>
        <v>2799167.2163441107</v>
      </c>
      <c r="AP79" s="161">
        <f t="shared" si="39"/>
        <v>3716570.5889437501</v>
      </c>
      <c r="AQ79" s="161">
        <f t="shared" si="39"/>
        <v>3810665.4024069472</v>
      </c>
      <c r="AR79" s="161">
        <f t="shared" si="39"/>
        <v>3788337.4794477299</v>
      </c>
      <c r="AS79" s="161">
        <f t="shared" si="39"/>
        <v>3767253.5106477137</v>
      </c>
      <c r="AT79" s="220"/>
    </row>
    <row r="80" spans="10:49" x14ac:dyDescent="0.2">
      <c r="S80" s="160" t="str">
        <f>$K$11</f>
        <v>Avoided generation/storage costs (excl. fuel costs)</v>
      </c>
      <c r="T80" s="161">
        <f>T16*T$73</f>
        <v>0</v>
      </c>
      <c r="U80" s="161">
        <f t="shared" ref="U80:AS80" si="40">U16*U$73+T80</f>
        <v>276.01623917886741</v>
      </c>
      <c r="V80" s="161">
        <f t="shared" si="40"/>
        <v>8326.8277025344087</v>
      </c>
      <c r="W80" s="161">
        <f t="shared" si="40"/>
        <v>142629486.44631371</v>
      </c>
      <c r="X80" s="161">
        <f t="shared" si="40"/>
        <v>128239360.91928706</v>
      </c>
      <c r="Y80" s="161">
        <f t="shared" si="40"/>
        <v>127949991.99179587</v>
      </c>
      <c r="Z80" s="161">
        <f t="shared" si="40"/>
        <v>129205106.0321141</v>
      </c>
      <c r="AA80" s="161">
        <f t="shared" si="40"/>
        <v>132297336.74155504</v>
      </c>
      <c r="AB80" s="161">
        <f t="shared" si="40"/>
        <v>135464105.83846238</v>
      </c>
      <c r="AC80" s="161">
        <f t="shared" si="40"/>
        <v>266931664.2661947</v>
      </c>
      <c r="AD80" s="161">
        <f t="shared" si="40"/>
        <v>304912752.44560391</v>
      </c>
      <c r="AE80" s="161">
        <f t="shared" si="40"/>
        <v>304503872.55438781</v>
      </c>
      <c r="AF80" s="161">
        <f t="shared" si="40"/>
        <v>332513305.32010585</v>
      </c>
      <c r="AG80" s="161">
        <f t="shared" si="40"/>
        <v>215191978.44983417</v>
      </c>
      <c r="AH80" s="161">
        <f t="shared" si="40"/>
        <v>271611870.83910406</v>
      </c>
      <c r="AI80" s="161">
        <f t="shared" si="40"/>
        <v>357023251.81496114</v>
      </c>
      <c r="AJ80" s="161">
        <f t="shared" si="40"/>
        <v>381090375.30144215</v>
      </c>
      <c r="AK80" s="161">
        <f t="shared" si="40"/>
        <v>266375996.61832476</v>
      </c>
      <c r="AL80" s="161">
        <f t="shared" si="40"/>
        <v>262827205.7274372</v>
      </c>
      <c r="AM80" s="161">
        <f t="shared" si="40"/>
        <v>261477196.66473767</v>
      </c>
      <c r="AN80" s="161">
        <f t="shared" si="40"/>
        <v>294167443.75454217</v>
      </c>
      <c r="AO80" s="161">
        <f t="shared" si="40"/>
        <v>269669383.00071162</v>
      </c>
      <c r="AP80" s="161">
        <f t="shared" si="40"/>
        <v>289474954.87039554</v>
      </c>
      <c r="AQ80" s="161">
        <f t="shared" si="40"/>
        <v>295971770.66930479</v>
      </c>
      <c r="AR80" s="161">
        <f t="shared" si="40"/>
        <v>284716119.97639632</v>
      </c>
      <c r="AS80" s="161">
        <f t="shared" si="40"/>
        <v>274087554.63842803</v>
      </c>
      <c r="AT80" s="220"/>
    </row>
    <row r="81" spans="19:46" x14ac:dyDescent="0.2"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223"/>
    </row>
    <row r="82" spans="19:46" x14ac:dyDescent="0.2">
      <c r="S82" s="159" t="str">
        <f>S18</f>
        <v>Neutral + lower emissions</v>
      </c>
      <c r="T82" s="162" t="str">
        <f>T$4</f>
        <v>2019-20</v>
      </c>
      <c r="U82" s="162" t="str">
        <f t="shared" ref="U82:AS82" si="41">U$4</f>
        <v>2020-21</v>
      </c>
      <c r="V82" s="162" t="str">
        <f t="shared" si="41"/>
        <v>2021-22</v>
      </c>
      <c r="W82" s="162" t="str">
        <f t="shared" si="41"/>
        <v>2022-23</v>
      </c>
      <c r="X82" s="162" t="str">
        <f t="shared" si="41"/>
        <v>2023-24</v>
      </c>
      <c r="Y82" s="162" t="str">
        <f t="shared" si="41"/>
        <v>2024-25</v>
      </c>
      <c r="Z82" s="162" t="str">
        <f t="shared" si="41"/>
        <v>2025-26</v>
      </c>
      <c r="AA82" s="162" t="str">
        <f t="shared" si="41"/>
        <v>2026-27</v>
      </c>
      <c r="AB82" s="162" t="str">
        <f t="shared" si="41"/>
        <v>2027-28</v>
      </c>
      <c r="AC82" s="162" t="str">
        <f t="shared" si="41"/>
        <v>2028-29</v>
      </c>
      <c r="AD82" s="162" t="str">
        <f t="shared" si="41"/>
        <v>2029-30</v>
      </c>
      <c r="AE82" s="162" t="str">
        <f t="shared" si="41"/>
        <v>2030-31</v>
      </c>
      <c r="AF82" s="162" t="str">
        <f t="shared" si="41"/>
        <v>2031-32</v>
      </c>
      <c r="AG82" s="162" t="str">
        <f t="shared" si="41"/>
        <v>2032-33</v>
      </c>
      <c r="AH82" s="162" t="str">
        <f t="shared" si="41"/>
        <v>2033-34</v>
      </c>
      <c r="AI82" s="162" t="str">
        <f t="shared" si="41"/>
        <v>2034-35</v>
      </c>
      <c r="AJ82" s="162" t="str">
        <f t="shared" si="41"/>
        <v>2035-36</v>
      </c>
      <c r="AK82" s="162" t="str">
        <f t="shared" si="41"/>
        <v>2036-37</v>
      </c>
      <c r="AL82" s="162" t="str">
        <f t="shared" si="41"/>
        <v>2037-38</v>
      </c>
      <c r="AM82" s="162" t="str">
        <f t="shared" si="41"/>
        <v>2038-39</v>
      </c>
      <c r="AN82" s="162" t="str">
        <f t="shared" si="41"/>
        <v>2039-40</v>
      </c>
      <c r="AO82" s="162" t="str">
        <f t="shared" si="41"/>
        <v>2040-41</v>
      </c>
      <c r="AP82" s="162" t="str">
        <f t="shared" si="41"/>
        <v>2041-42</v>
      </c>
      <c r="AQ82" s="162" t="str">
        <f t="shared" si="41"/>
        <v>2042-43</v>
      </c>
      <c r="AR82" s="162" t="str">
        <f t="shared" si="41"/>
        <v>2043-44</v>
      </c>
      <c r="AS82" s="162" t="str">
        <f t="shared" si="41"/>
        <v>2044-45</v>
      </c>
      <c r="AT82" s="172"/>
    </row>
    <row r="83" spans="19:46" x14ac:dyDescent="0.2">
      <c r="S83" s="160" t="str">
        <f>$K$7</f>
        <v>Avoided unserved energy</v>
      </c>
      <c r="T83" s="161">
        <f>T19*T$73</f>
        <v>0</v>
      </c>
      <c r="U83" s="161">
        <f t="shared" ref="U83:AS83" si="42">U19*U$73+T83</f>
        <v>3.5285317280453352E-2</v>
      </c>
      <c r="V83" s="161">
        <f t="shared" si="42"/>
        <v>6.6640132121821349E-2</v>
      </c>
      <c r="W83" s="161">
        <f t="shared" si="42"/>
        <v>-2800783.6640771967</v>
      </c>
      <c r="X83" s="161">
        <f t="shared" si="42"/>
        <v>-2248462.5789073529</v>
      </c>
      <c r="Y83" s="161">
        <f t="shared" si="42"/>
        <v>2698997.3163019614</v>
      </c>
      <c r="Z83" s="161">
        <f t="shared" si="42"/>
        <v>2698997.35160224</v>
      </c>
      <c r="AA83" s="161">
        <f t="shared" si="42"/>
        <v>2698997.3868988492</v>
      </c>
      <c r="AB83" s="161">
        <f t="shared" si="42"/>
        <v>2698997.4223086708</v>
      </c>
      <c r="AC83" s="161">
        <f t="shared" si="42"/>
        <v>3005805.3763397974</v>
      </c>
      <c r="AD83" s="161">
        <f t="shared" si="42"/>
        <v>1722390.8656694714</v>
      </c>
      <c r="AE83" s="161">
        <f t="shared" si="42"/>
        <v>1692275.6939885959</v>
      </c>
      <c r="AF83" s="161">
        <f t="shared" si="42"/>
        <v>1692275.729360576</v>
      </c>
      <c r="AG83" s="161">
        <f t="shared" si="42"/>
        <v>694662.91835750977</v>
      </c>
      <c r="AH83" s="161">
        <f t="shared" si="42"/>
        <v>-278800.69522727211</v>
      </c>
      <c r="AI83" s="161">
        <f t="shared" si="42"/>
        <v>-453090.52236798755</v>
      </c>
      <c r="AJ83" s="161">
        <f t="shared" si="42"/>
        <v>-703632.51178825414</v>
      </c>
      <c r="AK83" s="161">
        <f t="shared" si="42"/>
        <v>-703632.47666907567</v>
      </c>
      <c r="AL83" s="161">
        <f t="shared" si="42"/>
        <v>-703632.44158318802</v>
      </c>
      <c r="AM83" s="161">
        <f t="shared" si="42"/>
        <v>-718084.47616619174</v>
      </c>
      <c r="AN83" s="161">
        <f t="shared" si="42"/>
        <v>6582047.5864425655</v>
      </c>
      <c r="AO83" s="161">
        <f t="shared" si="42"/>
        <v>6582047.621482797</v>
      </c>
      <c r="AP83" s="161">
        <f t="shared" si="42"/>
        <v>7017800.2495090971</v>
      </c>
      <c r="AQ83" s="161">
        <f t="shared" si="42"/>
        <v>7003158.9208394326</v>
      </c>
      <c r="AR83" s="161">
        <f t="shared" si="42"/>
        <v>7299523.0691113137</v>
      </c>
      <c r="AS83" s="161">
        <f t="shared" si="42"/>
        <v>7579375.9003406633</v>
      </c>
      <c r="AT83" s="220"/>
    </row>
    <row r="84" spans="19:46" x14ac:dyDescent="0.2">
      <c r="S84" s="160" t="str">
        <f>$K$8</f>
        <v>Avoided REZ transmission capex</v>
      </c>
      <c r="T84" s="161">
        <f>T20*T$73</f>
        <v>0</v>
      </c>
      <c r="U84" s="161">
        <f t="shared" ref="U84:AS84" si="43">U20*U$73+T84</f>
        <v>0.42878648925411811</v>
      </c>
      <c r="V84" s="161">
        <f t="shared" si="43"/>
        <v>0.45522830676451542</v>
      </c>
      <c r="W84" s="161">
        <f t="shared" si="43"/>
        <v>11736049.295460308</v>
      </c>
      <c r="X84" s="161">
        <f t="shared" si="43"/>
        <v>11736049.277465545</v>
      </c>
      <c r="Y84" s="161">
        <f t="shared" si="43"/>
        <v>2755835.9398778919</v>
      </c>
      <c r="Z84" s="161">
        <f t="shared" si="43"/>
        <v>15673294.711131195</v>
      </c>
      <c r="AA84" s="161">
        <f t="shared" si="43"/>
        <v>15673294.727160284</v>
      </c>
      <c r="AB84" s="161">
        <f t="shared" si="43"/>
        <v>33657840.243960895</v>
      </c>
      <c r="AC84" s="161">
        <f t="shared" si="43"/>
        <v>30882465.232007593</v>
      </c>
      <c r="AD84" s="161">
        <f t="shared" si="43"/>
        <v>28352553.501852911</v>
      </c>
      <c r="AE84" s="161">
        <f t="shared" si="43"/>
        <v>25902461.440218318</v>
      </c>
      <c r="AF84" s="161">
        <f t="shared" si="43"/>
        <v>24312645.009570554</v>
      </c>
      <c r="AG84" s="161">
        <f t="shared" si="43"/>
        <v>33463666.186933108</v>
      </c>
      <c r="AH84" s="161">
        <f t="shared" si="43"/>
        <v>31763485.771412581</v>
      </c>
      <c r="AI84" s="161">
        <f t="shared" si="43"/>
        <v>31763485.765999254</v>
      </c>
      <c r="AJ84" s="161">
        <f t="shared" si="43"/>
        <v>39098732.631779678</v>
      </c>
      <c r="AK84" s="161">
        <f t="shared" si="43"/>
        <v>32423881.548393443</v>
      </c>
      <c r="AL84" s="161">
        <f t="shared" si="43"/>
        <v>30634996.279279813</v>
      </c>
      <c r="AM84" s="161">
        <f t="shared" si="43"/>
        <v>26814929.753518835</v>
      </c>
      <c r="AN84" s="161">
        <f t="shared" si="43"/>
        <v>34166149.139381215</v>
      </c>
      <c r="AO84" s="161">
        <f t="shared" si="43"/>
        <v>33262100.261255283</v>
      </c>
      <c r="AP84" s="161">
        <f t="shared" si="43"/>
        <v>35078595.66035559</v>
      </c>
      <c r="AQ84" s="161">
        <f t="shared" si="43"/>
        <v>35078595.655202679</v>
      </c>
      <c r="AR84" s="161">
        <f t="shared" si="43"/>
        <v>36013632.35699974</v>
      </c>
      <c r="AS84" s="161">
        <f t="shared" si="43"/>
        <v>36896575.418186761</v>
      </c>
      <c r="AT84" s="220"/>
    </row>
    <row r="85" spans="19:46" x14ac:dyDescent="0.2">
      <c r="S85" s="160" t="str">
        <f>$K$9</f>
        <v>Avoided fuel costs</v>
      </c>
      <c r="T85" s="161">
        <f>T21*T$73</f>
        <v>0</v>
      </c>
      <c r="U85" s="161">
        <f t="shared" ref="U85:AS85" si="44">U21*U$73+T85</f>
        <v>-199.88982873327674</v>
      </c>
      <c r="V85" s="161">
        <f t="shared" si="44"/>
        <v>-77718.042381419407</v>
      </c>
      <c r="W85" s="161">
        <f t="shared" si="44"/>
        <v>551852.15840962122</v>
      </c>
      <c r="X85" s="161">
        <f t="shared" si="44"/>
        <v>2260129.8830145057</v>
      </c>
      <c r="Y85" s="161">
        <f t="shared" si="44"/>
        <v>2879845.3708949941</v>
      </c>
      <c r="Z85" s="161">
        <f t="shared" si="44"/>
        <v>2713037.2643669005</v>
      </c>
      <c r="AA85" s="161">
        <f t="shared" si="44"/>
        <v>2973188.6133753909</v>
      </c>
      <c r="AB85" s="161">
        <f t="shared" si="44"/>
        <v>4494122.9037908204</v>
      </c>
      <c r="AC85" s="161">
        <f t="shared" si="44"/>
        <v>6307990.2541704318</v>
      </c>
      <c r="AD85" s="161">
        <f t="shared" si="44"/>
        <v>7058512.1600847337</v>
      </c>
      <c r="AE85" s="161">
        <f t="shared" si="44"/>
        <v>8815038.8371957093</v>
      </c>
      <c r="AF85" s="161">
        <f t="shared" si="44"/>
        <v>13182449.726011077</v>
      </c>
      <c r="AG85" s="161">
        <f t="shared" si="44"/>
        <v>17389494.137864571</v>
      </c>
      <c r="AH85" s="161">
        <f t="shared" si="44"/>
        <v>24225194.58654863</v>
      </c>
      <c r="AI85" s="161">
        <f t="shared" si="44"/>
        <v>22854153.127822965</v>
      </c>
      <c r="AJ85" s="161">
        <f t="shared" si="44"/>
        <v>25306298.719787113</v>
      </c>
      <c r="AK85" s="161">
        <f t="shared" si="44"/>
        <v>26060165.597617611</v>
      </c>
      <c r="AL85" s="161">
        <f t="shared" si="44"/>
        <v>29360156.600447614</v>
      </c>
      <c r="AM85" s="161">
        <f t="shared" si="44"/>
        <v>31672540.601082601</v>
      </c>
      <c r="AN85" s="161">
        <f t="shared" si="44"/>
        <v>37100282.305433311</v>
      </c>
      <c r="AO85" s="161">
        <f t="shared" si="44"/>
        <v>41394791.513878994</v>
      </c>
      <c r="AP85" s="161">
        <f t="shared" si="44"/>
        <v>47419413.632635199</v>
      </c>
      <c r="AQ85" s="161">
        <f t="shared" si="44"/>
        <v>52894506.039732084</v>
      </c>
      <c r="AR85" s="161">
        <f t="shared" si="44"/>
        <v>60156322.381062403</v>
      </c>
      <c r="AS85" s="161">
        <f t="shared" si="44"/>
        <v>67013561.608003214</v>
      </c>
      <c r="AT85" s="220"/>
    </row>
    <row r="86" spans="19:46" x14ac:dyDescent="0.2">
      <c r="S86" s="160" t="str">
        <f>$K$10</f>
        <v>Avoided voluntary load curtailment</v>
      </c>
      <c r="T86" s="161">
        <f>T22*T$73</f>
        <v>0</v>
      </c>
      <c r="U86" s="161">
        <f t="shared" ref="U86:AS86" si="45">U22*U$73+T86</f>
        <v>0.11441857601411846</v>
      </c>
      <c r="V86" s="161">
        <f t="shared" si="45"/>
        <v>0.22486778753477904</v>
      </c>
      <c r="W86" s="161">
        <f t="shared" si="45"/>
        <v>268421.02461534558</v>
      </c>
      <c r="X86" s="161">
        <f t="shared" si="45"/>
        <v>-1056.7627090352471</v>
      </c>
      <c r="Y86" s="161">
        <f t="shared" si="45"/>
        <v>-65085.761589557842</v>
      </c>
      <c r="Z86" s="161">
        <f t="shared" si="45"/>
        <v>-65085.641362600334</v>
      </c>
      <c r="AA86" s="161">
        <f t="shared" si="45"/>
        <v>-65085.522926104582</v>
      </c>
      <c r="AB86" s="161">
        <f t="shared" si="45"/>
        <v>-65085.398325579561</v>
      </c>
      <c r="AC86" s="161">
        <f t="shared" si="45"/>
        <v>-96702.28150675424</v>
      </c>
      <c r="AD86" s="161">
        <f t="shared" si="45"/>
        <v>-104241.49396106962</v>
      </c>
      <c r="AE86" s="161">
        <f t="shared" si="45"/>
        <v>-96134.161194179251</v>
      </c>
      <c r="AF86" s="161">
        <f t="shared" si="45"/>
        <v>-78175.367860619313</v>
      </c>
      <c r="AG86" s="161">
        <f t="shared" si="45"/>
        <v>-136495.88633271962</v>
      </c>
      <c r="AH86" s="161">
        <f t="shared" si="45"/>
        <v>313855.14217568876</v>
      </c>
      <c r="AI86" s="161">
        <f t="shared" si="45"/>
        <v>1052150.931272333</v>
      </c>
      <c r="AJ86" s="161">
        <f t="shared" si="45"/>
        <v>3076436.1915508099</v>
      </c>
      <c r="AK86" s="161">
        <f t="shared" si="45"/>
        <v>3076436.3201804906</v>
      </c>
      <c r="AL86" s="161">
        <f t="shared" si="45"/>
        <v>3076436.4518573582</v>
      </c>
      <c r="AM86" s="161">
        <f t="shared" si="45"/>
        <v>3094218.68772494</v>
      </c>
      <c r="AN86" s="161">
        <f t="shared" si="45"/>
        <v>5586959.1674853442</v>
      </c>
      <c r="AO86" s="161">
        <f t="shared" si="45"/>
        <v>6023656.1160763483</v>
      </c>
      <c r="AP86" s="161">
        <f t="shared" si="45"/>
        <v>10408242.988667898</v>
      </c>
      <c r="AQ86" s="161">
        <f t="shared" si="45"/>
        <v>11792357.000497831</v>
      </c>
      <c r="AR86" s="161">
        <f t="shared" si="45"/>
        <v>18692774.621358275</v>
      </c>
      <c r="AS86" s="161">
        <f t="shared" si="45"/>
        <v>25208749.711878054</v>
      </c>
      <c r="AT86" s="220"/>
    </row>
    <row r="87" spans="19:46" x14ac:dyDescent="0.2">
      <c r="S87" s="160" t="str">
        <f>$K$11</f>
        <v>Avoided generation/storage costs (excl. fuel costs)</v>
      </c>
      <c r="T87" s="161">
        <f>T23*T$73</f>
        <v>0</v>
      </c>
      <c r="U87" s="161">
        <f t="shared" ref="U87:AS87" si="46">U23*U$73+T87</f>
        <v>23.092775101702209</v>
      </c>
      <c r="V87" s="161">
        <f t="shared" si="46"/>
        <v>4992.412757803635</v>
      </c>
      <c r="W87" s="161">
        <f t="shared" si="46"/>
        <v>197980304.89687136</v>
      </c>
      <c r="X87" s="161">
        <f t="shared" si="46"/>
        <v>177952907.73057333</v>
      </c>
      <c r="Y87" s="161">
        <f t="shared" si="46"/>
        <v>155368794.98639283</v>
      </c>
      <c r="Z87" s="161">
        <f t="shared" si="46"/>
        <v>144307341.45792833</v>
      </c>
      <c r="AA87" s="161">
        <f t="shared" si="46"/>
        <v>153248714.02521241</v>
      </c>
      <c r="AB87" s="161">
        <f t="shared" si="46"/>
        <v>172410192.40162387</v>
      </c>
      <c r="AC87" s="161">
        <f t="shared" si="46"/>
        <v>186805731.82185215</v>
      </c>
      <c r="AD87" s="161">
        <f t="shared" si="46"/>
        <v>203274090.22718769</v>
      </c>
      <c r="AE87" s="161">
        <f t="shared" si="46"/>
        <v>171412642.99549872</v>
      </c>
      <c r="AF87" s="161">
        <f t="shared" si="46"/>
        <v>152582019.67610776</v>
      </c>
      <c r="AG87" s="161">
        <f t="shared" si="46"/>
        <v>178598546.40149981</v>
      </c>
      <c r="AH87" s="161">
        <f t="shared" si="46"/>
        <v>164096838.45734257</v>
      </c>
      <c r="AI87" s="161">
        <f t="shared" si="46"/>
        <v>207229832.08703393</v>
      </c>
      <c r="AJ87" s="161">
        <f t="shared" si="46"/>
        <v>253028006.35477856</v>
      </c>
      <c r="AK87" s="161">
        <f t="shared" si="46"/>
        <v>254927089.24335384</v>
      </c>
      <c r="AL87" s="161">
        <f t="shared" si="46"/>
        <v>230114153.89582005</v>
      </c>
      <c r="AM87" s="161">
        <f t="shared" si="46"/>
        <v>222338457.62418497</v>
      </c>
      <c r="AN87" s="161">
        <f t="shared" si="46"/>
        <v>224983692.23941824</v>
      </c>
      <c r="AO87" s="161">
        <f t="shared" si="46"/>
        <v>229060940.5214875</v>
      </c>
      <c r="AP87" s="161">
        <f t="shared" si="46"/>
        <v>227350182.46705872</v>
      </c>
      <c r="AQ87" s="161">
        <f t="shared" si="46"/>
        <v>227116551.28986958</v>
      </c>
      <c r="AR87" s="161">
        <f t="shared" si="46"/>
        <v>246153783.77103159</v>
      </c>
      <c r="AS87" s="161">
        <f t="shared" si="46"/>
        <v>264130396.12340364</v>
      </c>
      <c r="AT87" s="220"/>
    </row>
    <row r="88" spans="19:46" x14ac:dyDescent="0.2"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223"/>
    </row>
    <row r="89" spans="19:46" x14ac:dyDescent="0.2">
      <c r="S89" s="159" t="str">
        <f>S25</f>
        <v>Slow change</v>
      </c>
      <c r="T89" s="162" t="str">
        <f>T$4</f>
        <v>2019-20</v>
      </c>
      <c r="U89" s="162" t="str">
        <f t="shared" ref="U89:AS89" si="47">U$4</f>
        <v>2020-21</v>
      </c>
      <c r="V89" s="162" t="str">
        <f t="shared" si="47"/>
        <v>2021-22</v>
      </c>
      <c r="W89" s="162" t="str">
        <f t="shared" si="47"/>
        <v>2022-23</v>
      </c>
      <c r="X89" s="162" t="str">
        <f t="shared" si="47"/>
        <v>2023-24</v>
      </c>
      <c r="Y89" s="162" t="str">
        <f t="shared" si="47"/>
        <v>2024-25</v>
      </c>
      <c r="Z89" s="162" t="str">
        <f t="shared" si="47"/>
        <v>2025-26</v>
      </c>
      <c r="AA89" s="162" t="str">
        <f t="shared" si="47"/>
        <v>2026-27</v>
      </c>
      <c r="AB89" s="162" t="str">
        <f t="shared" si="47"/>
        <v>2027-28</v>
      </c>
      <c r="AC89" s="162" t="str">
        <f t="shared" si="47"/>
        <v>2028-29</v>
      </c>
      <c r="AD89" s="162" t="str">
        <f t="shared" si="47"/>
        <v>2029-30</v>
      </c>
      <c r="AE89" s="162" t="str">
        <f t="shared" si="47"/>
        <v>2030-31</v>
      </c>
      <c r="AF89" s="162" t="str">
        <f t="shared" si="47"/>
        <v>2031-32</v>
      </c>
      <c r="AG89" s="162" t="str">
        <f t="shared" si="47"/>
        <v>2032-33</v>
      </c>
      <c r="AH89" s="162" t="str">
        <f t="shared" si="47"/>
        <v>2033-34</v>
      </c>
      <c r="AI89" s="162" t="str">
        <f t="shared" si="47"/>
        <v>2034-35</v>
      </c>
      <c r="AJ89" s="162" t="str">
        <f t="shared" si="47"/>
        <v>2035-36</v>
      </c>
      <c r="AK89" s="162" t="str">
        <f t="shared" si="47"/>
        <v>2036-37</v>
      </c>
      <c r="AL89" s="162" t="str">
        <f t="shared" si="47"/>
        <v>2037-38</v>
      </c>
      <c r="AM89" s="162" t="str">
        <f t="shared" si="47"/>
        <v>2038-39</v>
      </c>
      <c r="AN89" s="162" t="str">
        <f t="shared" si="47"/>
        <v>2039-40</v>
      </c>
      <c r="AO89" s="162" t="str">
        <f t="shared" si="47"/>
        <v>2040-41</v>
      </c>
      <c r="AP89" s="162" t="str">
        <f t="shared" si="47"/>
        <v>2041-42</v>
      </c>
      <c r="AQ89" s="162" t="str">
        <f t="shared" si="47"/>
        <v>2042-43</v>
      </c>
      <c r="AR89" s="162" t="str">
        <f t="shared" si="47"/>
        <v>2043-44</v>
      </c>
      <c r="AS89" s="162" t="str">
        <f t="shared" si="47"/>
        <v>2044-45</v>
      </c>
      <c r="AT89" s="172"/>
    </row>
    <row r="90" spans="19:46" x14ac:dyDescent="0.2">
      <c r="S90" s="160" t="str">
        <f>$K$7</f>
        <v>Avoided unserved energy</v>
      </c>
      <c r="T90" s="161">
        <f>T26*T$73</f>
        <v>0</v>
      </c>
      <c r="U90" s="161">
        <f t="shared" ref="U90:AS90" si="48">U26*U$73+T90</f>
        <v>-20.11589746573998</v>
      </c>
      <c r="V90" s="161">
        <f t="shared" si="48"/>
        <v>-31.73386242829373</v>
      </c>
      <c r="W90" s="161">
        <f t="shared" si="48"/>
        <v>2631462.6645738911</v>
      </c>
      <c r="X90" s="161">
        <f t="shared" si="48"/>
        <v>1832340.575921257</v>
      </c>
      <c r="Y90" s="161">
        <f t="shared" si="48"/>
        <v>2892704.7857727082</v>
      </c>
      <c r="Z90" s="161">
        <f t="shared" si="48"/>
        <v>4553613.8491059672</v>
      </c>
      <c r="AA90" s="161">
        <f t="shared" si="48"/>
        <v>5315383.6275513098</v>
      </c>
      <c r="AB90" s="161">
        <f t="shared" si="48"/>
        <v>6200301.6680038702</v>
      </c>
      <c r="AC90" s="161">
        <f t="shared" si="48"/>
        <v>-178516.37177404761</v>
      </c>
      <c r="AD90" s="161">
        <f t="shared" si="48"/>
        <v>-351697.49853898282</v>
      </c>
      <c r="AE90" s="161">
        <f t="shared" si="48"/>
        <v>-351693.58439662872</v>
      </c>
      <c r="AF90" s="161">
        <f t="shared" si="48"/>
        <v>21477.034994276182</v>
      </c>
      <c r="AG90" s="161">
        <f t="shared" si="48"/>
        <v>-651646.55484882602</v>
      </c>
      <c r="AH90" s="161">
        <f t="shared" si="48"/>
        <v>-432385.2990861577</v>
      </c>
      <c r="AI90" s="161">
        <f t="shared" si="48"/>
        <v>-542552.29000024055</v>
      </c>
      <c r="AJ90" s="161">
        <f t="shared" si="48"/>
        <v>2168381.9783409489</v>
      </c>
      <c r="AK90" s="161">
        <f t="shared" si="48"/>
        <v>2199564.7752949884</v>
      </c>
      <c r="AL90" s="161">
        <f t="shared" si="48"/>
        <v>4461593.3573081754</v>
      </c>
      <c r="AM90" s="161">
        <f t="shared" si="48"/>
        <v>5181202.984157321</v>
      </c>
      <c r="AN90" s="161">
        <f t="shared" si="48"/>
        <v>5173250.4379958538</v>
      </c>
      <c r="AO90" s="161">
        <f t="shared" si="48"/>
        <v>5140782.631681256</v>
      </c>
      <c r="AP90" s="161">
        <f t="shared" si="48"/>
        <v>5090715.8760937182</v>
      </c>
      <c r="AQ90" s="161">
        <f t="shared" si="48"/>
        <v>6049337.7829357572</v>
      </c>
      <c r="AR90" s="161">
        <f t="shared" si="48"/>
        <v>6242817.1032090029</v>
      </c>
      <c r="AS90" s="161">
        <f t="shared" si="48"/>
        <v>6425517.1223527668</v>
      </c>
      <c r="AT90" s="220"/>
    </row>
    <row r="91" spans="19:46" x14ac:dyDescent="0.2">
      <c r="S91" s="160" t="str">
        <f>$K$8</f>
        <v>Avoided REZ transmission capex</v>
      </c>
      <c r="T91" s="161">
        <f>T27*T$73</f>
        <v>0</v>
      </c>
      <c r="U91" s="161">
        <f t="shared" ref="U91:AS91" si="49">U27*U$73+T91</f>
        <v>47.396062735059068</v>
      </c>
      <c r="V91" s="161">
        <f t="shared" si="49"/>
        <v>48.916854812213231</v>
      </c>
      <c r="W91" s="161">
        <f t="shared" si="49"/>
        <v>53.891591543261541</v>
      </c>
      <c r="X91" s="161">
        <f t="shared" si="49"/>
        <v>55.405519339559852</v>
      </c>
      <c r="Y91" s="161">
        <f t="shared" si="49"/>
        <v>57.268767127349008</v>
      </c>
      <c r="Z91" s="161">
        <f t="shared" si="49"/>
        <v>59.834678134928652</v>
      </c>
      <c r="AA91" s="161">
        <f t="shared" si="49"/>
        <v>62.103814015928037</v>
      </c>
      <c r="AB91" s="161">
        <f t="shared" si="49"/>
        <v>63.702593970438215</v>
      </c>
      <c r="AC91" s="161">
        <f t="shared" si="49"/>
        <v>72.432260423757313</v>
      </c>
      <c r="AD91" s="161">
        <f t="shared" si="49"/>
        <v>83.737077555428229</v>
      </c>
      <c r="AE91" s="161">
        <f t="shared" si="49"/>
        <v>84.404287860835254</v>
      </c>
      <c r="AF91" s="161">
        <f t="shared" si="49"/>
        <v>84.768543720391591</v>
      </c>
      <c r="AG91" s="161">
        <f t="shared" si="49"/>
        <v>87.961726241238949</v>
      </c>
      <c r="AH91" s="161">
        <f t="shared" si="49"/>
        <v>91.20334465629125</v>
      </c>
      <c r="AI91" s="161">
        <f t="shared" si="49"/>
        <v>91.680648666165155</v>
      </c>
      <c r="AJ91" s="161">
        <f t="shared" si="49"/>
        <v>15874604.332192697</v>
      </c>
      <c r="AK91" s="161">
        <f t="shared" si="49"/>
        <v>14705174.522232099</v>
      </c>
      <c r="AL91" s="161">
        <f t="shared" si="49"/>
        <v>11070813.344559234</v>
      </c>
      <c r="AM91" s="161">
        <f t="shared" si="49"/>
        <v>12785870.634044278</v>
      </c>
      <c r="AN91" s="161">
        <f t="shared" si="49"/>
        <v>11395433.625132661</v>
      </c>
      <c r="AO91" s="161">
        <f t="shared" si="49"/>
        <v>9984613.5169519894</v>
      </c>
      <c r="AP91" s="161">
        <f t="shared" si="49"/>
        <v>9393308.9155521747</v>
      </c>
      <c r="AQ91" s="161">
        <f t="shared" si="49"/>
        <v>9393309.5748890936</v>
      </c>
      <c r="AR91" s="161">
        <f t="shared" si="49"/>
        <v>8783790.7778812982</v>
      </c>
      <c r="AS91" s="161">
        <f t="shared" si="49"/>
        <v>8208230.063048631</v>
      </c>
      <c r="AT91" s="220"/>
    </row>
    <row r="92" spans="19:46" x14ac:dyDescent="0.2">
      <c r="S92" s="160" t="str">
        <f>$K$9</f>
        <v>Avoided fuel costs</v>
      </c>
      <c r="T92" s="161">
        <f>T28*T$73</f>
        <v>0</v>
      </c>
      <c r="U92" s="161">
        <f t="shared" ref="U92:AS92" si="50">U28*U$73+T92</f>
        <v>6.0231323170144124</v>
      </c>
      <c r="V92" s="161">
        <f t="shared" si="50"/>
        <v>-12725.177275081744</v>
      </c>
      <c r="W92" s="161">
        <f t="shared" si="50"/>
        <v>3470432.2252801955</v>
      </c>
      <c r="X92" s="161">
        <f t="shared" si="50"/>
        <v>6504918.8528516609</v>
      </c>
      <c r="Y92" s="161">
        <f t="shared" si="50"/>
        <v>9786740.9639807958</v>
      </c>
      <c r="Z92" s="161">
        <f t="shared" si="50"/>
        <v>12602221.015317095</v>
      </c>
      <c r="AA92" s="161">
        <f t="shared" si="50"/>
        <v>15950048.31979027</v>
      </c>
      <c r="AB92" s="161">
        <f t="shared" si="50"/>
        <v>19512403.406190924</v>
      </c>
      <c r="AC92" s="161">
        <f t="shared" si="50"/>
        <v>21053720.748584852</v>
      </c>
      <c r="AD92" s="161">
        <f t="shared" si="50"/>
        <v>20411895.929669105</v>
      </c>
      <c r="AE92" s="161">
        <f t="shared" si="50"/>
        <v>19321316.910865411</v>
      </c>
      <c r="AF92" s="161">
        <f t="shared" si="50"/>
        <v>18769186.984997351</v>
      </c>
      <c r="AG92" s="161">
        <f t="shared" si="50"/>
        <v>19710522.495487314</v>
      </c>
      <c r="AH92" s="161">
        <f t="shared" si="50"/>
        <v>22495638.455640133</v>
      </c>
      <c r="AI92" s="161">
        <f t="shared" si="50"/>
        <v>23189976.198221866</v>
      </c>
      <c r="AJ92" s="161">
        <f t="shared" si="50"/>
        <v>23703106.127909608</v>
      </c>
      <c r="AK92" s="161">
        <f t="shared" si="50"/>
        <v>20442713.817792326</v>
      </c>
      <c r="AL92" s="161">
        <f t="shared" si="50"/>
        <v>27881368.652906071</v>
      </c>
      <c r="AM92" s="161">
        <f t="shared" si="50"/>
        <v>30379636.241225924</v>
      </c>
      <c r="AN92" s="161">
        <f t="shared" si="50"/>
        <v>35167224.069254629</v>
      </c>
      <c r="AO92" s="161">
        <f t="shared" si="50"/>
        <v>38079927.535342373</v>
      </c>
      <c r="AP92" s="161">
        <f t="shared" si="50"/>
        <v>42770186.066214591</v>
      </c>
      <c r="AQ92" s="161">
        <f t="shared" si="50"/>
        <v>46979319.700139202</v>
      </c>
      <c r="AR92" s="161">
        <f t="shared" si="50"/>
        <v>51723951.254310891</v>
      </c>
      <c r="AS92" s="161">
        <f t="shared" si="50"/>
        <v>56204245.450884722</v>
      </c>
      <c r="AT92" s="220"/>
    </row>
    <row r="93" spans="19:46" x14ac:dyDescent="0.2">
      <c r="S93" s="160" t="str">
        <f>$K$10</f>
        <v>Avoided voluntary load curtailment</v>
      </c>
      <c r="T93" s="161">
        <f>T29*T$73</f>
        <v>0</v>
      </c>
      <c r="U93" s="161">
        <f t="shared" ref="U93:AS93" si="51">U29*U$73+T93</f>
        <v>4.2056438319184544</v>
      </c>
      <c r="V93" s="161">
        <f t="shared" si="51"/>
        <v>8.3850950170025111</v>
      </c>
      <c r="W93" s="161">
        <f t="shared" si="51"/>
        <v>-5693.3544665818035</v>
      </c>
      <c r="X93" s="161">
        <f t="shared" si="51"/>
        <v>75451.569842601122</v>
      </c>
      <c r="Y93" s="161">
        <f t="shared" si="51"/>
        <v>67393.957005591481</v>
      </c>
      <c r="Z93" s="161">
        <f t="shared" si="51"/>
        <v>82458.243987681519</v>
      </c>
      <c r="AA93" s="161">
        <f t="shared" si="51"/>
        <v>63352.106762293508</v>
      </c>
      <c r="AB93" s="161">
        <f t="shared" si="51"/>
        <v>131510.68170678648</v>
      </c>
      <c r="AC93" s="161">
        <f t="shared" si="51"/>
        <v>38283.499698019907</v>
      </c>
      <c r="AD93" s="161">
        <f t="shared" si="51"/>
        <v>16751.302786309785</v>
      </c>
      <c r="AE93" s="161">
        <f t="shared" si="51"/>
        <v>16755.399451976922</v>
      </c>
      <c r="AF93" s="161">
        <f t="shared" si="51"/>
        <v>10986.398030898836</v>
      </c>
      <c r="AG93" s="161">
        <f t="shared" si="51"/>
        <v>-75935.327804210378</v>
      </c>
      <c r="AH93" s="161">
        <f t="shared" si="51"/>
        <v>-95408.21295640328</v>
      </c>
      <c r="AI93" s="161">
        <f t="shared" si="51"/>
        <v>-112472.56884728609</v>
      </c>
      <c r="AJ93" s="161">
        <f t="shared" si="51"/>
        <v>-36049.357513748429</v>
      </c>
      <c r="AK93" s="161">
        <f t="shared" si="51"/>
        <v>-118095.86677538311</v>
      </c>
      <c r="AL93" s="161">
        <f t="shared" si="51"/>
        <v>-50112.259174158142</v>
      </c>
      <c r="AM93" s="161">
        <f t="shared" si="51"/>
        <v>-25086.949703394686</v>
      </c>
      <c r="AN93" s="161">
        <f t="shared" si="51"/>
        <v>20698.55109967908</v>
      </c>
      <c r="AO93" s="161">
        <f t="shared" si="51"/>
        <v>-48688.013860072984</v>
      </c>
      <c r="AP93" s="161">
        <f t="shared" si="51"/>
        <v>-52509.691522304885</v>
      </c>
      <c r="AQ93" s="161">
        <f t="shared" si="51"/>
        <v>-15547.59149345824</v>
      </c>
      <c r="AR93" s="161">
        <f t="shared" si="51"/>
        <v>-339900.58076991991</v>
      </c>
      <c r="AS93" s="161">
        <f t="shared" si="51"/>
        <v>-646182.91247573833</v>
      </c>
      <c r="AT93" s="220"/>
    </row>
    <row r="94" spans="19:46" x14ac:dyDescent="0.2">
      <c r="S94" s="160" t="str">
        <f>$K$11</f>
        <v>Avoided generation/storage costs (excl. fuel costs)</v>
      </c>
      <c r="T94" s="161">
        <f>T30*T$73</f>
        <v>0</v>
      </c>
      <c r="U94" s="161">
        <f t="shared" ref="U94:AS94" si="52">U30*U$73+T94</f>
        <v>1697.20988244353</v>
      </c>
      <c r="V94" s="161">
        <f t="shared" si="52"/>
        <v>3993.1989996705815</v>
      </c>
      <c r="W94" s="161">
        <f t="shared" si="52"/>
        <v>103018556.90318005</v>
      </c>
      <c r="X94" s="161">
        <f t="shared" si="52"/>
        <v>103431739.05209096</v>
      </c>
      <c r="Y94" s="161">
        <f t="shared" si="52"/>
        <v>124034905.63109882</v>
      </c>
      <c r="Z94" s="161">
        <f t="shared" si="52"/>
        <v>119151474.62295803</v>
      </c>
      <c r="AA94" s="161">
        <f t="shared" si="52"/>
        <v>119389731.37359177</v>
      </c>
      <c r="AB94" s="161">
        <f t="shared" si="52"/>
        <v>113198982.59388076</v>
      </c>
      <c r="AC94" s="161">
        <f t="shared" si="52"/>
        <v>195781756.17636135</v>
      </c>
      <c r="AD94" s="161">
        <f t="shared" si="52"/>
        <v>203117959.6595808</v>
      </c>
      <c r="AE94" s="161">
        <f t="shared" si="52"/>
        <v>202568109.28181061</v>
      </c>
      <c r="AF94" s="161">
        <f t="shared" si="52"/>
        <v>202169927.52564079</v>
      </c>
      <c r="AG94" s="161">
        <f t="shared" si="52"/>
        <v>196248516.24118358</v>
      </c>
      <c r="AH94" s="161">
        <f t="shared" si="52"/>
        <v>192128903.99396279</v>
      </c>
      <c r="AI94" s="161">
        <f t="shared" si="52"/>
        <v>191728138.83363545</v>
      </c>
      <c r="AJ94" s="161">
        <f t="shared" si="52"/>
        <v>194100527.40100697</v>
      </c>
      <c r="AK94" s="161">
        <f t="shared" si="52"/>
        <v>235356657.50138116</v>
      </c>
      <c r="AL94" s="161">
        <f t="shared" si="52"/>
        <v>168905131.0466302</v>
      </c>
      <c r="AM94" s="161">
        <f t="shared" si="52"/>
        <v>178878272.06483418</v>
      </c>
      <c r="AN94" s="161">
        <f t="shared" si="52"/>
        <v>175614679.61733559</v>
      </c>
      <c r="AO94" s="161">
        <f t="shared" si="52"/>
        <v>184520392.12375557</v>
      </c>
      <c r="AP94" s="161">
        <f t="shared" si="52"/>
        <v>169049673.23232484</v>
      </c>
      <c r="AQ94" s="161">
        <f t="shared" si="52"/>
        <v>165665453.70150456</v>
      </c>
      <c r="AR94" s="161">
        <f t="shared" si="52"/>
        <v>170006971.9359481</v>
      </c>
      <c r="AS94" s="161">
        <f t="shared" si="52"/>
        <v>174106611.43967193</v>
      </c>
      <c r="AT94" s="220"/>
    </row>
    <row r="95" spans="19:46" x14ac:dyDescent="0.2">
      <c r="S95" s="157"/>
      <c r="T95" s="157"/>
      <c r="U95" s="157"/>
      <c r="V95" s="157"/>
      <c r="W95" s="157"/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223"/>
    </row>
    <row r="96" spans="19:46" x14ac:dyDescent="0.2">
      <c r="S96" s="159" t="str">
        <f>S32</f>
        <v>Fast change</v>
      </c>
      <c r="T96" s="162" t="str">
        <f>T$4</f>
        <v>2019-20</v>
      </c>
      <c r="U96" s="162" t="str">
        <f t="shared" ref="U96:AS96" si="53">U$4</f>
        <v>2020-21</v>
      </c>
      <c r="V96" s="162" t="str">
        <f t="shared" si="53"/>
        <v>2021-22</v>
      </c>
      <c r="W96" s="162" t="str">
        <f t="shared" si="53"/>
        <v>2022-23</v>
      </c>
      <c r="X96" s="162" t="str">
        <f t="shared" si="53"/>
        <v>2023-24</v>
      </c>
      <c r="Y96" s="162" t="str">
        <f t="shared" si="53"/>
        <v>2024-25</v>
      </c>
      <c r="Z96" s="162" t="str">
        <f t="shared" si="53"/>
        <v>2025-26</v>
      </c>
      <c r="AA96" s="162" t="str">
        <f t="shared" si="53"/>
        <v>2026-27</v>
      </c>
      <c r="AB96" s="162" t="str">
        <f t="shared" si="53"/>
        <v>2027-28</v>
      </c>
      <c r="AC96" s="162" t="str">
        <f t="shared" si="53"/>
        <v>2028-29</v>
      </c>
      <c r="AD96" s="162" t="str">
        <f t="shared" si="53"/>
        <v>2029-30</v>
      </c>
      <c r="AE96" s="162" t="str">
        <f t="shared" si="53"/>
        <v>2030-31</v>
      </c>
      <c r="AF96" s="162" t="str">
        <f t="shared" si="53"/>
        <v>2031-32</v>
      </c>
      <c r="AG96" s="162" t="str">
        <f t="shared" si="53"/>
        <v>2032-33</v>
      </c>
      <c r="AH96" s="162" t="str">
        <f t="shared" si="53"/>
        <v>2033-34</v>
      </c>
      <c r="AI96" s="162" t="str">
        <f t="shared" si="53"/>
        <v>2034-35</v>
      </c>
      <c r="AJ96" s="162" t="str">
        <f t="shared" si="53"/>
        <v>2035-36</v>
      </c>
      <c r="AK96" s="162" t="str">
        <f t="shared" si="53"/>
        <v>2036-37</v>
      </c>
      <c r="AL96" s="162" t="str">
        <f t="shared" si="53"/>
        <v>2037-38</v>
      </c>
      <c r="AM96" s="162" t="str">
        <f t="shared" si="53"/>
        <v>2038-39</v>
      </c>
      <c r="AN96" s="162" t="str">
        <f t="shared" si="53"/>
        <v>2039-40</v>
      </c>
      <c r="AO96" s="162" t="str">
        <f t="shared" si="53"/>
        <v>2040-41</v>
      </c>
      <c r="AP96" s="162" t="str">
        <f t="shared" si="53"/>
        <v>2041-42</v>
      </c>
      <c r="AQ96" s="162" t="str">
        <f t="shared" si="53"/>
        <v>2042-43</v>
      </c>
      <c r="AR96" s="162" t="str">
        <f t="shared" si="53"/>
        <v>2043-44</v>
      </c>
      <c r="AS96" s="162" t="str">
        <f t="shared" si="53"/>
        <v>2044-45</v>
      </c>
      <c r="AT96" s="172"/>
    </row>
    <row r="97" spans="19:47" x14ac:dyDescent="0.2">
      <c r="S97" s="160" t="str">
        <f>$K$7</f>
        <v>Avoided unserved energy</v>
      </c>
      <c r="T97" s="161">
        <f>T33*T$73</f>
        <v>0</v>
      </c>
      <c r="U97" s="161">
        <f t="shared" ref="U97:AS97" si="54">U33*U$73+T97</f>
        <v>-0.21744508918891886</v>
      </c>
      <c r="V97" s="161">
        <f t="shared" si="54"/>
        <v>-2606840.8506316543</v>
      </c>
      <c r="W97" s="161">
        <f t="shared" si="54"/>
        <v>-1730223.9221021901</v>
      </c>
      <c r="X97" s="161">
        <f t="shared" si="54"/>
        <v>-6315895.5221180338</v>
      </c>
      <c r="Y97" s="161">
        <f t="shared" si="54"/>
        <v>-17229740.875053246</v>
      </c>
      <c r="Z97" s="161">
        <f t="shared" si="54"/>
        <v>-17229738.994434174</v>
      </c>
      <c r="AA97" s="161">
        <f t="shared" si="54"/>
        <v>-17229737.113921586</v>
      </c>
      <c r="AB97" s="161">
        <f t="shared" si="54"/>
        <v>-17223681.612876002</v>
      </c>
      <c r="AC97" s="161">
        <f t="shared" si="54"/>
        <v>-17223679.731420022</v>
      </c>
      <c r="AD97" s="161">
        <f t="shared" si="54"/>
        <v>-17305071.2912734</v>
      </c>
      <c r="AE97" s="161">
        <f t="shared" si="54"/>
        <v>-15823219.760863353</v>
      </c>
      <c r="AF97" s="161">
        <f t="shared" si="54"/>
        <v>-15944214.127526479</v>
      </c>
      <c r="AG97" s="161">
        <f t="shared" si="54"/>
        <v>-17025885.732083797</v>
      </c>
      <c r="AH97" s="161">
        <f t="shared" si="54"/>
        <v>-17658265.552164499</v>
      </c>
      <c r="AI97" s="161">
        <f t="shared" si="54"/>
        <v>-17642253.16725409</v>
      </c>
      <c r="AJ97" s="161">
        <f t="shared" si="54"/>
        <v>-21161171.227925271</v>
      </c>
      <c r="AK97" s="161">
        <f t="shared" si="54"/>
        <v>-21161169.347515356</v>
      </c>
      <c r="AL97" s="161">
        <f t="shared" si="54"/>
        <v>-21161167.467128899</v>
      </c>
      <c r="AM97" s="161">
        <f t="shared" si="54"/>
        <v>-21422113.860561542</v>
      </c>
      <c r="AN97" s="161">
        <f t="shared" si="54"/>
        <v>-23392376.508010834</v>
      </c>
      <c r="AO97" s="161">
        <f t="shared" si="54"/>
        <v>-24715513.13556768</v>
      </c>
      <c r="AP97" s="161">
        <f t="shared" si="54"/>
        <v>-32454133.882958904</v>
      </c>
      <c r="AQ97" s="161">
        <f t="shared" si="54"/>
        <v>-32731662.904482059</v>
      </c>
      <c r="AR97" s="161">
        <f t="shared" si="54"/>
        <v>-32097906.739845179</v>
      </c>
      <c r="AS97" s="161">
        <f t="shared" si="54"/>
        <v>-31499458.992312714</v>
      </c>
      <c r="AT97" s="220"/>
      <c r="AU97" s="157"/>
    </row>
    <row r="98" spans="19:47" x14ac:dyDescent="0.2">
      <c r="S98" s="160" t="str">
        <f>$K$8</f>
        <v>Avoided REZ transmission capex</v>
      </c>
      <c r="T98" s="161">
        <f>T34*T$73</f>
        <v>0</v>
      </c>
      <c r="U98" s="161">
        <f t="shared" ref="U98:AS98" si="55">U34*U$73+T98</f>
        <v>23.276052040138207</v>
      </c>
      <c r="V98" s="161">
        <f t="shared" si="55"/>
        <v>24.111675479599644</v>
      </c>
      <c r="W98" s="161">
        <f t="shared" si="55"/>
        <v>-11544575.290531661</v>
      </c>
      <c r="X98" s="161">
        <f t="shared" si="55"/>
        <v>6547083.5446317606</v>
      </c>
      <c r="Y98" s="161">
        <f t="shared" si="55"/>
        <v>13915581.591698349</v>
      </c>
      <c r="Z98" s="161">
        <f t="shared" si="55"/>
        <v>35279682.031583637</v>
      </c>
      <c r="AA98" s="161">
        <f t="shared" si="55"/>
        <v>34639727.785832368</v>
      </c>
      <c r="AB98" s="161">
        <f t="shared" si="55"/>
        <v>28041787.10456191</v>
      </c>
      <c r="AC98" s="161">
        <f t="shared" si="55"/>
        <v>36391783.887639292</v>
      </c>
      <c r="AD98" s="161">
        <f t="shared" si="55"/>
        <v>30777227.553132325</v>
      </c>
      <c r="AE98" s="161">
        <f t="shared" si="55"/>
        <v>32564676.793102045</v>
      </c>
      <c r="AF98" s="161">
        <f t="shared" si="55"/>
        <v>36834853.145091183</v>
      </c>
      <c r="AG98" s="161">
        <f t="shared" si="55"/>
        <v>42298005.283020668</v>
      </c>
      <c r="AH98" s="161">
        <f t="shared" si="55"/>
        <v>38396602.503097445</v>
      </c>
      <c r="AI98" s="161">
        <f t="shared" si="55"/>
        <v>38396616.082790621</v>
      </c>
      <c r="AJ98" s="161">
        <f t="shared" si="55"/>
        <v>33789838.280061647</v>
      </c>
      <c r="AK98" s="161">
        <f t="shared" si="55"/>
        <v>29384750.000953645</v>
      </c>
      <c r="AL98" s="161">
        <f t="shared" si="55"/>
        <v>27804170.285358686</v>
      </c>
      <c r="AM98" s="161">
        <f t="shared" si="55"/>
        <v>25290983.794225756</v>
      </c>
      <c r="AN98" s="161">
        <f t="shared" si="55"/>
        <v>30303216.200084977</v>
      </c>
      <c r="AO98" s="161">
        <f t="shared" si="55"/>
        <v>33717401.205728516</v>
      </c>
      <c r="AP98" s="161">
        <f t="shared" si="55"/>
        <v>29968803.646502152</v>
      </c>
      <c r="AQ98" s="161">
        <f t="shared" si="55"/>
        <v>29968803.646502152</v>
      </c>
      <c r="AR98" s="161">
        <f t="shared" si="55"/>
        <v>37614380.077876225</v>
      </c>
      <c r="AS98" s="161">
        <f t="shared" si="55"/>
        <v>44833998.99324362</v>
      </c>
      <c r="AT98" s="220"/>
      <c r="AU98" s="157"/>
    </row>
    <row r="99" spans="19:47" x14ac:dyDescent="0.2">
      <c r="S99" s="160" t="str">
        <f>$K$9</f>
        <v>Avoided fuel costs</v>
      </c>
      <c r="T99" s="161">
        <f>T35*T$73</f>
        <v>0</v>
      </c>
      <c r="U99" s="161">
        <f t="shared" ref="U99:AS99" si="56">U35*U$73+T99</f>
        <v>9.1565085312912675</v>
      </c>
      <c r="V99" s="161">
        <f t="shared" si="56"/>
        <v>-68384.862550087113</v>
      </c>
      <c r="W99" s="161">
        <f t="shared" si="56"/>
        <v>6652153.2363141719</v>
      </c>
      <c r="X99" s="161">
        <f t="shared" si="56"/>
        <v>4653286.9338688087</v>
      </c>
      <c r="Y99" s="161">
        <f t="shared" si="56"/>
        <v>1082536.9648847957</v>
      </c>
      <c r="Z99" s="161">
        <f t="shared" si="56"/>
        <v>1165615.6042240805</v>
      </c>
      <c r="AA99" s="161">
        <f t="shared" si="56"/>
        <v>2448356.7793952208</v>
      </c>
      <c r="AB99" s="161">
        <f t="shared" si="56"/>
        <v>944413.13880450744</v>
      </c>
      <c r="AC99" s="161">
        <f t="shared" si="56"/>
        <v>2667759.2396244872</v>
      </c>
      <c r="AD99" s="161">
        <f t="shared" si="56"/>
        <v>4062935.6799560129</v>
      </c>
      <c r="AE99" s="161">
        <f t="shared" si="56"/>
        <v>7863112.1590330563</v>
      </c>
      <c r="AF99" s="161">
        <f t="shared" si="56"/>
        <v>12199888.895310568</v>
      </c>
      <c r="AG99" s="161">
        <f t="shared" si="56"/>
        <v>14707666.972835345</v>
      </c>
      <c r="AH99" s="161">
        <f t="shared" si="56"/>
        <v>19873036.309871797</v>
      </c>
      <c r="AI99" s="161">
        <f t="shared" si="56"/>
        <v>19034329.66137252</v>
      </c>
      <c r="AJ99" s="161">
        <f t="shared" si="56"/>
        <v>19687602.190952063</v>
      </c>
      <c r="AK99" s="161">
        <f t="shared" si="56"/>
        <v>23824306.591943592</v>
      </c>
      <c r="AL99" s="161">
        <f t="shared" si="56"/>
        <v>28971575.024984218</v>
      </c>
      <c r="AM99" s="161">
        <f t="shared" si="56"/>
        <v>35130122.035779595</v>
      </c>
      <c r="AN99" s="161">
        <f t="shared" si="56"/>
        <v>46932950.602232061</v>
      </c>
      <c r="AO99" s="161">
        <f t="shared" si="56"/>
        <v>58900713.69121477</v>
      </c>
      <c r="AP99" s="161">
        <f t="shared" si="56"/>
        <v>70214552.833034366</v>
      </c>
      <c r="AQ99" s="161">
        <f t="shared" si="56"/>
        <v>76015311.400210604</v>
      </c>
      <c r="AR99" s="161">
        <f t="shared" si="56"/>
        <v>89965832.603904247</v>
      </c>
      <c r="AS99" s="161">
        <f t="shared" si="56"/>
        <v>103139129.30238739</v>
      </c>
      <c r="AT99" s="220"/>
      <c r="AU99" s="157"/>
    </row>
    <row r="100" spans="19:47" x14ac:dyDescent="0.2">
      <c r="S100" s="160" t="str">
        <f>$K$10</f>
        <v>Avoided voluntary load curtailment</v>
      </c>
      <c r="T100" s="161">
        <f>T36*T$73</f>
        <v>0</v>
      </c>
      <c r="U100" s="161">
        <f t="shared" ref="U100:AS100" si="57">U36*U$73+T100</f>
        <v>2.08014184129763</v>
      </c>
      <c r="V100" s="161">
        <f t="shared" si="57"/>
        <v>4.104311866932921</v>
      </c>
      <c r="W100" s="161">
        <f t="shared" si="57"/>
        <v>2869.8677651920034</v>
      </c>
      <c r="X100" s="161">
        <f t="shared" si="57"/>
        <v>-22097.418933111374</v>
      </c>
      <c r="Y100" s="161">
        <f t="shared" si="57"/>
        <v>-117032.1183944192</v>
      </c>
      <c r="Z100" s="161">
        <f t="shared" si="57"/>
        <v>-117029.99156778747</v>
      </c>
      <c r="AA100" s="161">
        <f t="shared" si="57"/>
        <v>-214959.84701879212</v>
      </c>
      <c r="AB100" s="161">
        <f t="shared" si="57"/>
        <v>-217580.72125630183</v>
      </c>
      <c r="AC100" s="161">
        <f t="shared" si="57"/>
        <v>-214761.01680814032</v>
      </c>
      <c r="AD100" s="161">
        <f t="shared" si="57"/>
        <v>-213175.43162462377</v>
      </c>
      <c r="AE100" s="161">
        <f t="shared" si="57"/>
        <v>32797.800425245427</v>
      </c>
      <c r="AF100" s="161">
        <f t="shared" si="57"/>
        <v>419815.70615248091</v>
      </c>
      <c r="AG100" s="161">
        <f t="shared" si="57"/>
        <v>537162.8917716383</v>
      </c>
      <c r="AH100" s="161">
        <f t="shared" si="57"/>
        <v>700058.07386516954</v>
      </c>
      <c r="AI100" s="161">
        <f t="shared" si="57"/>
        <v>789413.72000220744</v>
      </c>
      <c r="AJ100" s="161">
        <f t="shared" si="57"/>
        <v>890357.6602780727</v>
      </c>
      <c r="AK100" s="161">
        <f t="shared" si="57"/>
        <v>957565.06567229272</v>
      </c>
      <c r="AL100" s="161">
        <f t="shared" si="57"/>
        <v>919377.04103411606</v>
      </c>
      <c r="AM100" s="161">
        <f t="shared" si="57"/>
        <v>944297.87279628625</v>
      </c>
      <c r="AN100" s="161">
        <f t="shared" si="57"/>
        <v>336732.29942220019</v>
      </c>
      <c r="AO100" s="161">
        <f t="shared" si="57"/>
        <v>249739.81368070166</v>
      </c>
      <c r="AP100" s="161">
        <f t="shared" si="57"/>
        <v>41377.830403970351</v>
      </c>
      <c r="AQ100" s="161">
        <f t="shared" si="57"/>
        <v>-176848.44541979409</v>
      </c>
      <c r="AR100" s="161">
        <f t="shared" si="57"/>
        <v>-888443.22239358106</v>
      </c>
      <c r="AS100" s="161">
        <f t="shared" si="57"/>
        <v>-1560392.9645784604</v>
      </c>
      <c r="AT100" s="220"/>
      <c r="AU100" s="157"/>
    </row>
    <row r="101" spans="19:47" x14ac:dyDescent="0.2">
      <c r="S101" s="160" t="str">
        <f>$K$11</f>
        <v>Avoided generation/storage costs (excl. fuel costs)</v>
      </c>
      <c r="T101" s="161">
        <f>T37*T$73</f>
        <v>0</v>
      </c>
      <c r="U101" s="161">
        <f t="shared" ref="U101:AS101" si="58">U37*U$73+T101</f>
        <v>791.67638712046403</v>
      </c>
      <c r="V101" s="161">
        <f t="shared" si="58"/>
        <v>29486820.500464618</v>
      </c>
      <c r="W101" s="161">
        <f t="shared" si="58"/>
        <v>160831464.86075866</v>
      </c>
      <c r="X101" s="161">
        <f t="shared" si="58"/>
        <v>301617423.36266387</v>
      </c>
      <c r="Y101" s="161">
        <f t="shared" si="58"/>
        <v>263985203.45433024</v>
      </c>
      <c r="Z101" s="161">
        <f t="shared" si="58"/>
        <v>219863187.03332806</v>
      </c>
      <c r="AA101" s="161">
        <f t="shared" si="58"/>
        <v>197474988.51192763</v>
      </c>
      <c r="AB101" s="161">
        <f t="shared" si="58"/>
        <v>231567005.01248369</v>
      </c>
      <c r="AC101" s="161">
        <f t="shared" si="58"/>
        <v>192576509.07439536</v>
      </c>
      <c r="AD101" s="161">
        <f t="shared" si="58"/>
        <v>174124024.04223624</v>
      </c>
      <c r="AE101" s="161">
        <f t="shared" si="58"/>
        <v>127413119.35917789</v>
      </c>
      <c r="AF101" s="161">
        <f t="shared" si="58"/>
        <v>212917723.2497896</v>
      </c>
      <c r="AG101" s="161">
        <f t="shared" si="58"/>
        <v>227622264.84913266</v>
      </c>
      <c r="AH101" s="161">
        <f t="shared" si="58"/>
        <v>209113710.69955248</v>
      </c>
      <c r="AI101" s="161">
        <f t="shared" si="58"/>
        <v>244992871.84757528</v>
      </c>
      <c r="AJ101" s="161">
        <f t="shared" si="58"/>
        <v>309159774.58252358</v>
      </c>
      <c r="AK101" s="161">
        <f t="shared" si="58"/>
        <v>271670417.80189919</v>
      </c>
      <c r="AL101" s="161">
        <f t="shared" si="58"/>
        <v>266092687.60558566</v>
      </c>
      <c r="AM101" s="161">
        <f t="shared" si="58"/>
        <v>253447599.64639544</v>
      </c>
      <c r="AN101" s="161">
        <f t="shared" si="58"/>
        <v>303954008.34994644</v>
      </c>
      <c r="AO101" s="161">
        <f t="shared" si="58"/>
        <v>309355503.74698609</v>
      </c>
      <c r="AP101" s="161">
        <f t="shared" si="58"/>
        <v>347920049.93151319</v>
      </c>
      <c r="AQ101" s="161">
        <f t="shared" si="58"/>
        <v>344355662.12101156</v>
      </c>
      <c r="AR101" s="161">
        <f t="shared" si="58"/>
        <v>337223280.69242144</v>
      </c>
      <c r="AS101" s="161">
        <f t="shared" si="58"/>
        <v>330488265.17911631</v>
      </c>
      <c r="AT101" s="220"/>
      <c r="AU101" s="157"/>
    </row>
    <row r="102" spans="19:47" x14ac:dyDescent="0.2"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97"/>
      <c r="AT102" s="224"/>
    </row>
    <row r="103" spans="19:47" x14ac:dyDescent="0.2"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</row>
  </sheetData>
  <mergeCells count="14">
    <mergeCell ref="AZ20:BC20"/>
    <mergeCell ref="BD20:BE20"/>
    <mergeCell ref="AZ28:BC28"/>
    <mergeCell ref="BD28:BE28"/>
    <mergeCell ref="L13:O13"/>
    <mergeCell ref="P13:Q13"/>
    <mergeCell ref="L24:O24"/>
    <mergeCell ref="P24:Q24"/>
    <mergeCell ref="C7:F7"/>
    <mergeCell ref="G7:H7"/>
    <mergeCell ref="L35:O35"/>
    <mergeCell ref="P35:Q35"/>
    <mergeCell ref="L46:O46"/>
    <mergeCell ref="P46:Q4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3"/>
  </sheetPr>
  <dimension ref="B2:BB159"/>
  <sheetViews>
    <sheetView showGridLines="0" zoomScale="60" zoomScaleNormal="60" workbookViewId="0"/>
  </sheetViews>
  <sheetFormatPr defaultColWidth="9.21875" defaultRowHeight="12.75" x14ac:dyDescent="0.2"/>
  <cols>
    <col min="1" max="3" width="9.21875" style="156"/>
    <col min="4" max="4" width="12.88671875" style="156" bestFit="1" customWidth="1"/>
    <col min="5" max="9" width="9.21875" style="156"/>
    <col min="10" max="10" width="4.6640625" style="156" customWidth="1"/>
    <col min="11" max="27" width="9.21875" style="156"/>
    <col min="28" max="28" width="4.6640625" style="156" customWidth="1"/>
    <col min="29" max="53" width="9.21875" style="156"/>
    <col min="54" max="54" width="10.77734375" style="156" customWidth="1"/>
    <col min="55" max="16384" width="9.21875" style="156"/>
  </cols>
  <sheetData>
    <row r="2" spans="2:54" x14ac:dyDescent="0.2">
      <c r="B2" s="158" t="str">
        <f>'R2 Chart tables'!B9</f>
        <v>Neutral</v>
      </c>
      <c r="C2" s="158"/>
      <c r="D2" s="158"/>
      <c r="E2" s="158"/>
      <c r="F2" s="158"/>
      <c r="G2" s="158"/>
      <c r="H2" s="158"/>
      <c r="I2" s="158"/>
      <c r="J2" s="174"/>
      <c r="K2" s="158" t="s">
        <v>135</v>
      </c>
      <c r="L2" s="158"/>
      <c r="M2" s="158"/>
      <c r="N2" s="158"/>
      <c r="O2" s="158"/>
      <c r="P2" s="158"/>
      <c r="Q2" s="158"/>
      <c r="R2" s="158"/>
      <c r="S2" s="174"/>
      <c r="T2" s="158" t="str">
        <f>'R2 Chart tables'!B11</f>
        <v>Slow change</v>
      </c>
      <c r="U2" s="158"/>
      <c r="V2" s="158"/>
      <c r="W2" s="158"/>
      <c r="X2" s="158"/>
      <c r="Y2" s="158"/>
      <c r="Z2" s="158"/>
      <c r="AA2" s="158"/>
      <c r="AB2" s="174"/>
      <c r="AC2" s="158" t="str">
        <f>'R2 Chart tables'!B12</f>
        <v>Fast change</v>
      </c>
      <c r="AD2" s="158"/>
      <c r="AE2" s="158"/>
      <c r="AF2" s="158"/>
      <c r="AG2" s="158"/>
      <c r="AH2" s="158"/>
      <c r="AI2" s="158"/>
      <c r="AJ2" s="158"/>
      <c r="AL2" s="158" t="s">
        <v>150</v>
      </c>
      <c r="AM2" s="158"/>
      <c r="AN2" s="158"/>
      <c r="AO2" s="158"/>
      <c r="AP2" s="158"/>
      <c r="AQ2" s="158"/>
      <c r="AR2" s="158"/>
      <c r="AS2" s="158"/>
      <c r="AU2" s="158" t="s">
        <v>55</v>
      </c>
      <c r="AV2" s="158"/>
      <c r="AW2" s="158"/>
      <c r="AX2" s="158"/>
      <c r="AY2" s="158"/>
      <c r="AZ2" s="158"/>
      <c r="BA2" s="158"/>
      <c r="BB2" s="158"/>
    </row>
    <row r="3" spans="2:54" x14ac:dyDescent="0.2">
      <c r="J3" s="173"/>
      <c r="S3" s="173"/>
      <c r="AB3" s="173"/>
    </row>
    <row r="4" spans="2:54" x14ac:dyDescent="0.2">
      <c r="B4" s="159" t="str">
        <f>'R2 Chart tables'!B2</f>
        <v>Summary of the estimated net market benefits</v>
      </c>
      <c r="C4" s="159"/>
      <c r="D4" s="159"/>
      <c r="E4" s="159"/>
      <c r="F4" s="159"/>
      <c r="G4" s="159"/>
      <c r="H4" s="159"/>
      <c r="I4" s="159" t="s">
        <v>153</v>
      </c>
      <c r="J4" s="172"/>
      <c r="K4" s="159" t="s">
        <v>117</v>
      </c>
      <c r="L4" s="159"/>
      <c r="M4" s="159"/>
      <c r="N4" s="159"/>
      <c r="O4" s="159"/>
      <c r="P4" s="159"/>
      <c r="Q4" s="159"/>
      <c r="R4" s="159" t="s">
        <v>156</v>
      </c>
      <c r="S4" s="172"/>
      <c r="T4" s="159" t="s">
        <v>117</v>
      </c>
      <c r="U4" s="159"/>
      <c r="V4" s="159"/>
      <c r="W4" s="159"/>
      <c r="X4" s="159"/>
      <c r="Y4" s="159"/>
      <c r="Z4" s="159"/>
      <c r="AA4" s="159" t="s">
        <v>159</v>
      </c>
      <c r="AB4" s="172"/>
      <c r="AC4" s="159" t="s">
        <v>117</v>
      </c>
      <c r="AD4" s="159"/>
      <c r="AE4" s="159"/>
      <c r="AF4" s="159"/>
      <c r="AG4" s="159"/>
      <c r="AH4" s="159"/>
      <c r="AI4" s="159"/>
      <c r="AJ4" s="159" t="s">
        <v>162</v>
      </c>
      <c r="AL4" s="159" t="s">
        <v>152</v>
      </c>
      <c r="AM4" s="159"/>
      <c r="AN4" s="159"/>
      <c r="AO4" s="159"/>
      <c r="AP4" s="159"/>
      <c r="AQ4" s="159"/>
      <c r="AR4" s="159"/>
      <c r="AS4" s="159" t="s">
        <v>191</v>
      </c>
      <c r="AU4" s="159" t="s">
        <v>149</v>
      </c>
      <c r="AV4" s="159"/>
      <c r="AW4" s="159"/>
      <c r="AX4" s="159"/>
      <c r="AY4" s="159"/>
      <c r="AZ4" s="159"/>
      <c r="BA4" s="159"/>
      <c r="BB4" s="159" t="s">
        <v>190</v>
      </c>
    </row>
    <row r="22" spans="2:54" x14ac:dyDescent="0.2">
      <c r="B22" s="158" t="s">
        <v>115</v>
      </c>
      <c r="C22" s="158"/>
      <c r="D22" s="158"/>
      <c r="E22" s="158"/>
      <c r="F22" s="158"/>
      <c r="G22" s="158"/>
      <c r="H22" s="158"/>
      <c r="I22" s="158" t="s">
        <v>154</v>
      </c>
      <c r="J22" s="174"/>
      <c r="K22" s="158" t="s">
        <v>135</v>
      </c>
      <c r="L22" s="158"/>
      <c r="M22" s="158"/>
      <c r="N22" s="158"/>
      <c r="O22" s="158"/>
      <c r="P22" s="158"/>
      <c r="Q22" s="158"/>
      <c r="R22" s="158" t="s">
        <v>157</v>
      </c>
      <c r="S22" s="172"/>
      <c r="T22" s="158" t="s">
        <v>99</v>
      </c>
      <c r="U22" s="158"/>
      <c r="V22" s="158"/>
      <c r="W22" s="158"/>
      <c r="X22" s="158"/>
      <c r="Y22" s="158"/>
      <c r="Z22" s="158"/>
      <c r="AA22" s="158" t="s">
        <v>160</v>
      </c>
      <c r="AB22" s="172"/>
      <c r="AC22" s="158" t="s">
        <v>100</v>
      </c>
      <c r="AD22" s="158"/>
      <c r="AE22" s="158"/>
      <c r="AF22" s="158"/>
      <c r="AG22" s="158"/>
      <c r="AH22" s="158"/>
      <c r="AI22" s="158"/>
      <c r="AJ22" s="158" t="s">
        <v>192</v>
      </c>
      <c r="AL22" s="159" t="s">
        <v>151</v>
      </c>
      <c r="AM22" s="159"/>
      <c r="AN22" s="159"/>
      <c r="AO22" s="159"/>
      <c r="AP22" s="159"/>
      <c r="AQ22" s="159"/>
      <c r="AR22" s="159"/>
      <c r="AS22" s="159" t="s">
        <v>194</v>
      </c>
    </row>
    <row r="23" spans="2:54" x14ac:dyDescent="0.2">
      <c r="AK23" s="173"/>
      <c r="AL23" s="173"/>
      <c r="AM23" s="173"/>
      <c r="AN23" s="173"/>
      <c r="AO23" s="173"/>
      <c r="AP23" s="173"/>
      <c r="AQ23" s="173"/>
      <c r="AR23" s="173"/>
      <c r="AS23" s="173"/>
      <c r="AU23" s="159" t="s">
        <v>57</v>
      </c>
      <c r="AV23" s="159"/>
      <c r="AW23" s="159"/>
      <c r="AX23" s="159"/>
      <c r="AY23" s="159"/>
      <c r="AZ23" s="159"/>
      <c r="BA23" s="159"/>
      <c r="BB23" s="159" t="s">
        <v>189</v>
      </c>
    </row>
    <row r="24" spans="2:54" x14ac:dyDescent="0.2">
      <c r="AK24" s="173"/>
      <c r="AL24" s="173"/>
      <c r="AM24" s="173"/>
      <c r="AN24" s="173"/>
      <c r="AO24" s="173"/>
      <c r="AP24" s="173"/>
      <c r="AQ24" s="173"/>
      <c r="AR24" s="173"/>
      <c r="AS24" s="173"/>
    </row>
    <row r="25" spans="2:54" x14ac:dyDescent="0.2">
      <c r="AK25" s="173"/>
      <c r="AL25" s="173"/>
      <c r="AM25" s="173"/>
      <c r="AN25" s="173"/>
      <c r="AO25" s="173"/>
      <c r="AP25" s="173"/>
      <c r="AQ25" s="173"/>
      <c r="AR25" s="173"/>
      <c r="AS25" s="173"/>
    </row>
    <row r="26" spans="2:54" x14ac:dyDescent="0.2">
      <c r="AK26" s="173"/>
      <c r="AL26" s="173"/>
      <c r="AM26" s="173"/>
      <c r="AN26" s="173"/>
      <c r="AO26" s="173"/>
      <c r="AP26" s="173"/>
      <c r="AQ26" s="173"/>
      <c r="AR26" s="173"/>
      <c r="AS26" s="173"/>
    </row>
    <row r="27" spans="2:54" x14ac:dyDescent="0.2">
      <c r="AK27" s="173"/>
      <c r="AL27" s="173"/>
      <c r="AM27" s="173"/>
      <c r="AN27" s="173"/>
      <c r="AO27" s="173"/>
      <c r="AP27" s="173"/>
      <c r="AQ27" s="173"/>
      <c r="AR27" s="173"/>
      <c r="AS27" s="173"/>
    </row>
    <row r="28" spans="2:54" x14ac:dyDescent="0.2">
      <c r="AK28" s="173"/>
      <c r="AL28" s="173"/>
      <c r="AM28" s="173"/>
      <c r="AN28" s="173"/>
      <c r="AO28" s="173"/>
      <c r="AP28" s="173"/>
      <c r="AQ28" s="173"/>
      <c r="AR28" s="173"/>
      <c r="AS28" s="173"/>
    </row>
    <row r="29" spans="2:54" x14ac:dyDescent="0.2">
      <c r="AK29" s="173"/>
      <c r="AL29" s="173"/>
      <c r="AM29" s="173"/>
      <c r="AN29" s="173"/>
      <c r="AO29" s="173"/>
      <c r="AP29" s="173"/>
      <c r="AQ29" s="173"/>
      <c r="AR29" s="173"/>
      <c r="AS29" s="173"/>
    </row>
    <row r="30" spans="2:54" x14ac:dyDescent="0.2">
      <c r="AK30" s="173"/>
      <c r="AL30" s="173"/>
      <c r="AM30" s="173"/>
      <c r="AN30" s="173"/>
      <c r="AO30" s="173"/>
      <c r="AP30" s="173"/>
      <c r="AQ30" s="173"/>
      <c r="AR30" s="173"/>
      <c r="AS30" s="173"/>
    </row>
    <row r="31" spans="2:54" x14ac:dyDescent="0.2">
      <c r="AK31" s="173"/>
      <c r="AL31" s="173"/>
      <c r="AM31" s="173"/>
      <c r="AN31" s="173"/>
      <c r="AO31" s="173"/>
      <c r="AP31" s="173"/>
      <c r="AQ31" s="173"/>
      <c r="AR31" s="173"/>
      <c r="AS31" s="173"/>
    </row>
    <row r="32" spans="2:54" x14ac:dyDescent="0.2">
      <c r="AK32" s="173"/>
      <c r="AL32" s="173"/>
      <c r="AM32" s="173"/>
      <c r="AN32" s="173"/>
      <c r="AO32" s="173"/>
      <c r="AP32" s="173"/>
      <c r="AQ32" s="173"/>
      <c r="AR32" s="173"/>
      <c r="AS32" s="173"/>
    </row>
    <row r="33" spans="2:45" x14ac:dyDescent="0.2">
      <c r="AK33" s="173"/>
      <c r="AL33" s="173"/>
      <c r="AM33" s="173"/>
      <c r="AN33" s="173"/>
      <c r="AO33" s="173"/>
      <c r="AP33" s="173"/>
      <c r="AQ33" s="173"/>
      <c r="AR33" s="173"/>
      <c r="AS33" s="173"/>
    </row>
    <row r="34" spans="2:45" x14ac:dyDescent="0.2">
      <c r="AK34" s="173"/>
      <c r="AL34" s="173"/>
      <c r="AM34" s="173"/>
      <c r="AN34" s="173"/>
      <c r="AO34" s="173"/>
      <c r="AP34" s="173"/>
      <c r="AQ34" s="173"/>
      <c r="AR34" s="173"/>
      <c r="AS34" s="173"/>
    </row>
    <row r="35" spans="2:45" x14ac:dyDescent="0.2">
      <c r="AK35" s="173"/>
      <c r="AL35" s="173"/>
      <c r="AM35" s="173"/>
      <c r="AN35" s="173"/>
      <c r="AO35" s="173"/>
      <c r="AP35" s="173"/>
      <c r="AQ35" s="173"/>
      <c r="AR35" s="173"/>
      <c r="AS35" s="173"/>
    </row>
    <row r="36" spans="2:45" x14ac:dyDescent="0.2">
      <c r="AK36" s="173"/>
      <c r="AL36" s="173"/>
      <c r="AM36" s="173"/>
      <c r="AN36" s="173"/>
      <c r="AO36" s="173"/>
      <c r="AP36" s="173"/>
      <c r="AQ36" s="173"/>
      <c r="AR36" s="173"/>
      <c r="AS36" s="173"/>
    </row>
    <row r="37" spans="2:45" x14ac:dyDescent="0.2">
      <c r="AK37" s="173"/>
      <c r="AL37" s="173"/>
      <c r="AM37" s="173"/>
      <c r="AN37" s="173"/>
      <c r="AO37" s="173"/>
      <c r="AP37" s="173"/>
      <c r="AQ37" s="173"/>
      <c r="AR37" s="173"/>
      <c r="AS37" s="173"/>
    </row>
    <row r="38" spans="2:45" x14ac:dyDescent="0.2">
      <c r="AK38" s="173"/>
      <c r="AL38" s="173"/>
      <c r="AM38" s="173"/>
      <c r="AN38" s="173"/>
      <c r="AO38" s="173"/>
      <c r="AP38" s="173"/>
      <c r="AQ38" s="173"/>
      <c r="AR38" s="173"/>
      <c r="AS38" s="173"/>
    </row>
    <row r="39" spans="2:45" x14ac:dyDescent="0.2">
      <c r="AK39" s="173"/>
      <c r="AL39" s="173"/>
      <c r="AM39" s="173"/>
      <c r="AN39" s="173"/>
      <c r="AO39" s="173"/>
      <c r="AP39" s="173"/>
      <c r="AQ39" s="173"/>
      <c r="AR39" s="173"/>
      <c r="AS39" s="173"/>
    </row>
    <row r="40" spans="2:45" x14ac:dyDescent="0.2">
      <c r="AK40" s="173"/>
      <c r="AL40" s="173"/>
      <c r="AM40" s="173"/>
      <c r="AN40" s="173"/>
      <c r="AO40" s="173"/>
      <c r="AP40" s="173"/>
      <c r="AQ40" s="173"/>
      <c r="AR40" s="173"/>
      <c r="AS40" s="173"/>
    </row>
    <row r="41" spans="2:45" x14ac:dyDescent="0.2">
      <c r="AK41" s="173"/>
      <c r="AL41" s="173"/>
      <c r="AM41" s="173"/>
      <c r="AN41" s="173"/>
      <c r="AO41" s="173"/>
      <c r="AP41" s="173"/>
      <c r="AQ41" s="173"/>
      <c r="AR41" s="173"/>
      <c r="AS41" s="173"/>
    </row>
    <row r="42" spans="2:45" x14ac:dyDescent="0.2">
      <c r="AK42" s="173"/>
      <c r="AL42" s="173"/>
      <c r="AM42" s="173"/>
      <c r="AN42" s="173"/>
      <c r="AO42" s="173"/>
      <c r="AP42" s="173"/>
      <c r="AQ42" s="173"/>
      <c r="AR42" s="173"/>
      <c r="AS42" s="173"/>
    </row>
    <row r="43" spans="2:45" x14ac:dyDescent="0.2">
      <c r="AK43" s="173"/>
      <c r="AL43" s="173"/>
      <c r="AM43" s="173"/>
      <c r="AN43" s="173"/>
      <c r="AO43" s="173"/>
      <c r="AP43" s="173"/>
      <c r="AQ43" s="173"/>
      <c r="AR43" s="173"/>
      <c r="AS43" s="173"/>
    </row>
    <row r="44" spans="2:45" x14ac:dyDescent="0.2">
      <c r="AK44" s="173"/>
      <c r="AL44" s="173"/>
      <c r="AM44" s="173"/>
      <c r="AN44" s="173"/>
      <c r="AO44" s="173"/>
      <c r="AP44" s="173"/>
      <c r="AQ44" s="173"/>
      <c r="AR44" s="173"/>
      <c r="AS44" s="173"/>
    </row>
    <row r="45" spans="2:45" x14ac:dyDescent="0.2">
      <c r="AK45" s="173"/>
      <c r="AL45" s="173"/>
      <c r="AM45" s="173"/>
      <c r="AN45" s="173"/>
      <c r="AO45" s="173"/>
      <c r="AP45" s="173"/>
      <c r="AQ45" s="173"/>
      <c r="AR45" s="173"/>
      <c r="AS45" s="173"/>
    </row>
    <row r="46" spans="2:45" x14ac:dyDescent="0.2">
      <c r="AK46" s="173"/>
      <c r="AL46" s="173"/>
      <c r="AM46" s="173"/>
      <c r="AN46" s="173"/>
      <c r="AO46" s="173"/>
      <c r="AP46" s="173"/>
      <c r="AQ46" s="173"/>
      <c r="AR46" s="173"/>
      <c r="AS46" s="173"/>
    </row>
    <row r="47" spans="2:45" x14ac:dyDescent="0.2">
      <c r="B47" s="158" t="s">
        <v>115</v>
      </c>
      <c r="C47" s="196" t="s">
        <v>122</v>
      </c>
      <c r="D47" s="196" t="s">
        <v>134</v>
      </c>
      <c r="E47" s="158"/>
      <c r="F47" s="158"/>
      <c r="G47" s="158"/>
      <c r="H47" s="158"/>
      <c r="I47" s="158" t="s">
        <v>155</v>
      </c>
      <c r="J47" s="174"/>
      <c r="K47" s="158" t="s">
        <v>135</v>
      </c>
      <c r="L47" s="196" t="s">
        <v>122</v>
      </c>
      <c r="M47" s="196" t="s">
        <v>134</v>
      </c>
      <c r="N47" s="196"/>
      <c r="O47" s="158"/>
      <c r="P47" s="158"/>
      <c r="Q47" s="168"/>
      <c r="R47" s="158" t="s">
        <v>158</v>
      </c>
      <c r="S47" s="175"/>
      <c r="T47" s="158" t="s">
        <v>99</v>
      </c>
      <c r="U47" s="196" t="s">
        <v>122</v>
      </c>
      <c r="V47" s="196" t="s">
        <v>134</v>
      </c>
      <c r="W47" s="158"/>
      <c r="X47" s="158"/>
      <c r="Y47" s="158"/>
      <c r="Z47" s="168"/>
      <c r="AA47" s="158" t="s">
        <v>161</v>
      </c>
      <c r="AB47" s="172"/>
      <c r="AC47" s="196" t="s">
        <v>100</v>
      </c>
      <c r="AD47" s="196" t="s">
        <v>122</v>
      </c>
      <c r="AE47" s="196" t="s">
        <v>134</v>
      </c>
      <c r="AF47" s="158"/>
      <c r="AG47" s="158"/>
      <c r="AH47" s="158"/>
      <c r="AI47" s="158"/>
      <c r="AJ47" s="158" t="s">
        <v>193</v>
      </c>
      <c r="AK47" s="173"/>
      <c r="AL47" s="173"/>
      <c r="AM47" s="173"/>
      <c r="AN47" s="173"/>
      <c r="AO47" s="173"/>
      <c r="AP47" s="173"/>
      <c r="AQ47" s="173"/>
      <c r="AR47" s="173"/>
      <c r="AS47" s="173"/>
    </row>
    <row r="48" spans="2:45" x14ac:dyDescent="0.2">
      <c r="AK48" s="173"/>
      <c r="AL48" s="173"/>
      <c r="AM48" s="173"/>
      <c r="AN48" s="173"/>
      <c r="AO48" s="173"/>
      <c r="AP48" s="173"/>
      <c r="AQ48" s="173"/>
      <c r="AR48" s="173"/>
      <c r="AS48" s="173"/>
    </row>
    <row r="49" spans="37:45" x14ac:dyDescent="0.2">
      <c r="AK49" s="173"/>
      <c r="AL49" s="173"/>
      <c r="AM49" s="173"/>
      <c r="AN49" s="173"/>
      <c r="AO49" s="173"/>
      <c r="AP49" s="173"/>
      <c r="AQ49" s="173"/>
      <c r="AR49" s="173"/>
      <c r="AS49" s="173"/>
    </row>
    <row r="50" spans="37:45" x14ac:dyDescent="0.2">
      <c r="AK50" s="173"/>
      <c r="AL50" s="173"/>
      <c r="AM50" s="173"/>
      <c r="AN50" s="173"/>
      <c r="AO50" s="173"/>
      <c r="AP50" s="173"/>
      <c r="AQ50" s="173"/>
      <c r="AR50" s="173"/>
      <c r="AS50" s="173"/>
    </row>
    <row r="51" spans="37:45" x14ac:dyDescent="0.2">
      <c r="AK51" s="173"/>
      <c r="AL51" s="173"/>
      <c r="AM51" s="173"/>
      <c r="AN51" s="173"/>
      <c r="AO51" s="173"/>
      <c r="AP51" s="173"/>
      <c r="AQ51" s="173"/>
      <c r="AR51" s="173"/>
      <c r="AS51" s="173"/>
    </row>
    <row r="52" spans="37:45" x14ac:dyDescent="0.2">
      <c r="AK52" s="173"/>
      <c r="AL52" s="173"/>
      <c r="AM52" s="173"/>
      <c r="AN52" s="173"/>
      <c r="AO52" s="173"/>
      <c r="AP52" s="173"/>
      <c r="AQ52" s="173"/>
      <c r="AR52" s="173"/>
      <c r="AS52" s="173"/>
    </row>
    <row r="53" spans="37:45" x14ac:dyDescent="0.2">
      <c r="AK53" s="173"/>
      <c r="AL53" s="173"/>
      <c r="AM53" s="173"/>
      <c r="AN53" s="173"/>
      <c r="AO53" s="173"/>
      <c r="AP53" s="173"/>
      <c r="AQ53" s="173"/>
      <c r="AR53" s="173"/>
      <c r="AS53" s="173"/>
    </row>
    <row r="54" spans="37:45" x14ac:dyDescent="0.2">
      <c r="AK54" s="173"/>
      <c r="AL54" s="173"/>
      <c r="AM54" s="173"/>
      <c r="AN54" s="173"/>
      <c r="AO54" s="173"/>
      <c r="AP54" s="173"/>
      <c r="AQ54" s="173"/>
      <c r="AR54" s="173"/>
      <c r="AS54" s="173"/>
    </row>
    <row r="55" spans="37:45" x14ac:dyDescent="0.2">
      <c r="AK55" s="173"/>
      <c r="AL55" s="173"/>
      <c r="AM55" s="173"/>
      <c r="AN55" s="173"/>
      <c r="AO55" s="173"/>
      <c r="AP55" s="173"/>
      <c r="AQ55" s="173"/>
      <c r="AR55" s="173"/>
      <c r="AS55" s="173"/>
    </row>
    <row r="56" spans="37:45" x14ac:dyDescent="0.2">
      <c r="AK56" s="173"/>
      <c r="AL56" s="173"/>
      <c r="AM56" s="173"/>
      <c r="AN56" s="173"/>
      <c r="AO56" s="173"/>
      <c r="AP56" s="173"/>
      <c r="AQ56" s="173"/>
      <c r="AR56" s="173"/>
      <c r="AS56" s="173"/>
    </row>
    <row r="69" spans="2:15" x14ac:dyDescent="0.2">
      <c r="B69" s="157"/>
    </row>
    <row r="73" spans="2:15" x14ac:dyDescent="0.2">
      <c r="O73" s="157"/>
    </row>
    <row r="74" spans="2:15" x14ac:dyDescent="0.2">
      <c r="O74" s="157"/>
    </row>
    <row r="75" spans="2:15" x14ac:dyDescent="0.2">
      <c r="O75" s="157"/>
    </row>
    <row r="76" spans="2:15" x14ac:dyDescent="0.2">
      <c r="O76" s="157"/>
    </row>
    <row r="77" spans="2:15" x14ac:dyDescent="0.2">
      <c r="O77" s="157"/>
    </row>
    <row r="78" spans="2:15" x14ac:dyDescent="0.2">
      <c r="O78" s="157"/>
    </row>
    <row r="79" spans="2:15" x14ac:dyDescent="0.2">
      <c r="O79" s="157"/>
    </row>
    <row r="80" spans="2:15" x14ac:dyDescent="0.2">
      <c r="O80" s="157"/>
    </row>
    <row r="81" spans="15:15" x14ac:dyDescent="0.2">
      <c r="O81" s="157"/>
    </row>
    <row r="82" spans="15:15" x14ac:dyDescent="0.2">
      <c r="O82" s="157"/>
    </row>
    <row r="83" spans="15:15" x14ac:dyDescent="0.2">
      <c r="O83" s="157"/>
    </row>
    <row r="84" spans="15:15" x14ac:dyDescent="0.2">
      <c r="O84" s="157"/>
    </row>
    <row r="85" spans="15:15" x14ac:dyDescent="0.2">
      <c r="O85" s="157"/>
    </row>
    <row r="86" spans="15:15" x14ac:dyDescent="0.2">
      <c r="O86" s="157"/>
    </row>
    <row r="87" spans="15:15" x14ac:dyDescent="0.2">
      <c r="O87" s="157"/>
    </row>
    <row r="88" spans="15:15" x14ac:dyDescent="0.2">
      <c r="O88" s="157"/>
    </row>
    <row r="89" spans="15:15" x14ac:dyDescent="0.2">
      <c r="O89" s="157"/>
    </row>
    <row r="90" spans="15:15" x14ac:dyDescent="0.2">
      <c r="O90" s="157"/>
    </row>
    <row r="92" spans="15:15" x14ac:dyDescent="0.2">
      <c r="O92" s="157"/>
    </row>
    <row r="93" spans="15:15" x14ac:dyDescent="0.2">
      <c r="O93" s="157"/>
    </row>
    <row r="94" spans="15:15" x14ac:dyDescent="0.2">
      <c r="O94" s="157"/>
    </row>
    <row r="95" spans="15:15" x14ac:dyDescent="0.2">
      <c r="O95" s="157"/>
    </row>
    <row r="96" spans="15:15" x14ac:dyDescent="0.2">
      <c r="O96" s="157"/>
    </row>
    <row r="97" spans="15:15" x14ac:dyDescent="0.2">
      <c r="O97" s="157"/>
    </row>
    <row r="98" spans="15:15" x14ac:dyDescent="0.2">
      <c r="O98" s="157"/>
    </row>
    <row r="99" spans="15:15" x14ac:dyDescent="0.2">
      <c r="O99" s="157"/>
    </row>
    <row r="100" spans="15:15" x14ac:dyDescent="0.2">
      <c r="O100" s="157"/>
    </row>
    <row r="101" spans="15:15" x14ac:dyDescent="0.2">
      <c r="O101" s="157"/>
    </row>
    <row r="102" spans="15:15" x14ac:dyDescent="0.2">
      <c r="O102" s="157"/>
    </row>
    <row r="103" spans="15:15" x14ac:dyDescent="0.2">
      <c r="O103" s="157"/>
    </row>
    <row r="104" spans="15:15" x14ac:dyDescent="0.2">
      <c r="O104" s="157"/>
    </row>
    <row r="105" spans="15:15" x14ac:dyDescent="0.2">
      <c r="O105" s="157"/>
    </row>
    <row r="106" spans="15:15" x14ac:dyDescent="0.2">
      <c r="O106" s="157"/>
    </row>
    <row r="107" spans="15:15" x14ac:dyDescent="0.2">
      <c r="O107" s="157"/>
    </row>
    <row r="108" spans="15:15" x14ac:dyDescent="0.2">
      <c r="O108" s="157"/>
    </row>
    <row r="109" spans="15:15" x14ac:dyDescent="0.2">
      <c r="O109" s="157"/>
    </row>
    <row r="119" spans="5:15" x14ac:dyDescent="0.2"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</row>
    <row r="120" spans="5:15" x14ac:dyDescent="0.2"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</row>
    <row r="121" spans="5:15" x14ac:dyDescent="0.2"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</row>
    <row r="122" spans="5:15" x14ac:dyDescent="0.2"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</row>
    <row r="123" spans="5:15" x14ac:dyDescent="0.2"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</row>
    <row r="124" spans="5:15" x14ac:dyDescent="0.2"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</row>
    <row r="125" spans="5:15" x14ac:dyDescent="0.2"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</row>
    <row r="126" spans="5:15" x14ac:dyDescent="0.2"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</row>
    <row r="127" spans="5:15" x14ac:dyDescent="0.2"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</row>
    <row r="128" spans="5:15" x14ac:dyDescent="0.2"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</row>
    <row r="129" spans="5:15" x14ac:dyDescent="0.2"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</row>
    <row r="130" spans="5:15" x14ac:dyDescent="0.2"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</row>
    <row r="131" spans="5:15" x14ac:dyDescent="0.2"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</row>
    <row r="132" spans="5:15" x14ac:dyDescent="0.2"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</row>
    <row r="133" spans="5:15" x14ac:dyDescent="0.2"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</row>
    <row r="134" spans="5:15" x14ac:dyDescent="0.2"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</row>
    <row r="135" spans="5:15" x14ac:dyDescent="0.2"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</row>
    <row r="136" spans="5:15" x14ac:dyDescent="0.2"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</row>
    <row r="137" spans="5:15" x14ac:dyDescent="0.2"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</row>
    <row r="138" spans="5:15" x14ac:dyDescent="0.2"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</row>
    <row r="139" spans="5:15" x14ac:dyDescent="0.2"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</row>
    <row r="140" spans="5:15" x14ac:dyDescent="0.2"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</row>
    <row r="141" spans="5:15" x14ac:dyDescent="0.2"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</row>
    <row r="142" spans="5:15" x14ac:dyDescent="0.2"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</row>
    <row r="143" spans="5:15" x14ac:dyDescent="0.2"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</row>
    <row r="144" spans="5:15" x14ac:dyDescent="0.2"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</row>
    <row r="145" spans="5:15" x14ac:dyDescent="0.2"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</row>
    <row r="146" spans="5:15" x14ac:dyDescent="0.2"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</row>
    <row r="147" spans="5:15" x14ac:dyDescent="0.2"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</row>
    <row r="148" spans="5:15" x14ac:dyDescent="0.2"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</row>
    <row r="149" spans="5:15" x14ac:dyDescent="0.2"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</row>
    <row r="150" spans="5:15" x14ac:dyDescent="0.2"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</row>
    <row r="151" spans="5:15" x14ac:dyDescent="0.2"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</row>
    <row r="152" spans="5:15" x14ac:dyDescent="0.2"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</row>
    <row r="153" spans="5:15" x14ac:dyDescent="0.2"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</row>
    <row r="154" spans="5:15" x14ac:dyDescent="0.2"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</row>
    <row r="155" spans="5:15" x14ac:dyDescent="0.2"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</row>
    <row r="156" spans="5:15" x14ac:dyDescent="0.2"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</row>
    <row r="157" spans="5:15" x14ac:dyDescent="0.2"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</row>
    <row r="158" spans="5:15" x14ac:dyDescent="0.2"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</row>
    <row r="159" spans="5:15" x14ac:dyDescent="0.2"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E0D4A4"/>
  </sheetPr>
  <dimension ref="A1:S29"/>
  <sheetViews>
    <sheetView showGridLines="0" zoomScaleNormal="100" zoomScaleSheetLayoutView="20" workbookViewId="0"/>
  </sheetViews>
  <sheetFormatPr defaultRowHeight="15" x14ac:dyDescent="0.2"/>
  <cols>
    <col min="1" max="1" width="13.6640625" bestFit="1" customWidth="1"/>
    <col min="2" max="2" width="9.5546875" customWidth="1"/>
    <col min="3" max="5" width="14.5546875" customWidth="1"/>
    <col min="6" max="8" width="8.88671875" customWidth="1"/>
    <col min="9" max="9" width="14.5546875" customWidth="1"/>
    <col min="10" max="13" width="8.88671875" customWidth="1"/>
  </cols>
  <sheetData>
    <row r="1" spans="1:19" ht="18" x14ac:dyDescent="0.25">
      <c r="A1" s="108" t="str">
        <f ca="1">MID(CELL("filename",A2),FIND("]",CELL("filename",A2))+1,256)</f>
        <v>I1 General Inputs</v>
      </c>
    </row>
    <row r="2" spans="1:19" x14ac:dyDescent="0.2">
      <c r="A2" s="109" t="s">
        <v>34</v>
      </c>
    </row>
    <row r="4" spans="1:19" ht="21" x14ac:dyDescent="0.35">
      <c r="A4" s="111"/>
      <c r="B4" s="67" t="s">
        <v>26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19" x14ac:dyDescent="0.2">
      <c r="A5" s="111"/>
      <c r="B5" s="55"/>
      <c r="C5" s="55"/>
      <c r="D5" s="55"/>
      <c r="E5" s="7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19" ht="15.75" x14ac:dyDescent="0.25">
      <c r="A6" s="111"/>
      <c r="B6" s="68" t="s">
        <v>5</v>
      </c>
      <c r="C6" s="68"/>
      <c r="D6" s="76"/>
      <c r="E6" s="76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</row>
    <row r="7" spans="1:19" ht="15.75" x14ac:dyDescent="0.25">
      <c r="A7" s="111"/>
      <c r="B7" s="69" t="s">
        <v>6</v>
      </c>
      <c r="C7" s="69"/>
      <c r="D7" s="73" t="s">
        <v>7</v>
      </c>
      <c r="E7" s="73" t="s">
        <v>8</v>
      </c>
      <c r="F7" s="69" t="s">
        <v>33</v>
      </c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</row>
    <row r="8" spans="1:19" x14ac:dyDescent="0.2">
      <c r="A8" s="111"/>
      <c r="B8" s="70" t="s">
        <v>9</v>
      </c>
      <c r="C8" s="72"/>
      <c r="D8" s="77" t="s">
        <v>10</v>
      </c>
      <c r="E8" s="59">
        <v>2020</v>
      </c>
      <c r="F8" s="66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</row>
    <row r="9" spans="1:19" x14ac:dyDescent="0.2">
      <c r="A9" s="111"/>
      <c r="B9" s="70" t="s">
        <v>67</v>
      </c>
      <c r="C9" s="72"/>
      <c r="D9" s="77" t="s">
        <v>10</v>
      </c>
      <c r="E9" s="59">
        <v>2019</v>
      </c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</row>
    <row r="10" spans="1:19" x14ac:dyDescent="0.2">
      <c r="A10" s="111"/>
      <c r="B10" s="70" t="s">
        <v>11</v>
      </c>
      <c r="C10" s="72"/>
      <c r="D10" s="77" t="s">
        <v>12</v>
      </c>
      <c r="E10" s="59">
        <v>26</v>
      </c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</row>
    <row r="11" spans="1:19" x14ac:dyDescent="0.2">
      <c r="A11" s="111"/>
      <c r="B11" s="55"/>
      <c r="C11" s="55"/>
      <c r="D11" s="55"/>
      <c r="E11" s="55"/>
      <c r="F11" s="55"/>
      <c r="G11" s="55"/>
      <c r="H11" s="55"/>
      <c r="I11" s="55"/>
    </row>
    <row r="12" spans="1:19" ht="15.75" x14ac:dyDescent="0.25">
      <c r="A12" s="98"/>
      <c r="B12" s="5" t="s">
        <v>23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</row>
    <row r="13" spans="1:19" ht="30" customHeight="1" x14ac:dyDescent="0.25">
      <c r="A13" s="99"/>
      <c r="B13" s="113" t="s">
        <v>14</v>
      </c>
      <c r="C13" s="112" t="s">
        <v>13</v>
      </c>
      <c r="D13" s="113"/>
      <c r="E13" s="114" t="s">
        <v>65</v>
      </c>
      <c r="F13" s="112" t="s">
        <v>16</v>
      </c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</row>
    <row r="14" spans="1:19" ht="15.75" x14ac:dyDescent="0.2">
      <c r="A14" s="107">
        <f t="shared" ref="A14:A20" si="0">IF(E14="Yes",1,0)</f>
        <v>1</v>
      </c>
      <c r="B14" s="71">
        <v>0</v>
      </c>
      <c r="C14" s="61" t="s">
        <v>15</v>
      </c>
      <c r="D14" s="62"/>
      <c r="E14" s="63" t="s">
        <v>62</v>
      </c>
      <c r="F14" s="116"/>
      <c r="G14" s="116"/>
      <c r="H14" s="116"/>
      <c r="I14" s="116"/>
      <c r="J14" s="62"/>
      <c r="K14" s="62"/>
      <c r="L14" s="62"/>
      <c r="M14" s="62"/>
      <c r="N14" s="62"/>
      <c r="O14" s="62"/>
      <c r="P14" s="62"/>
      <c r="Q14" s="62"/>
      <c r="R14" s="62"/>
      <c r="S14" s="62"/>
    </row>
    <row r="15" spans="1:19" ht="15.75" x14ac:dyDescent="0.2">
      <c r="A15" s="107">
        <f t="shared" si="0"/>
        <v>1</v>
      </c>
      <c r="B15" s="71">
        <f t="shared" ref="B15:B20" si="1">+B14+1</f>
        <v>1</v>
      </c>
      <c r="C15" s="61" t="s">
        <v>122</v>
      </c>
      <c r="D15" s="62"/>
      <c r="E15" s="63" t="s">
        <v>62</v>
      </c>
      <c r="F15" s="115" t="s">
        <v>109</v>
      </c>
      <c r="G15" s="115"/>
      <c r="H15" s="115"/>
      <c r="I15" s="115"/>
      <c r="J15" s="62"/>
      <c r="K15" s="62"/>
      <c r="L15" s="62"/>
      <c r="M15" s="62"/>
      <c r="N15" s="62"/>
      <c r="O15" s="62"/>
      <c r="P15" s="62"/>
      <c r="Q15" s="62"/>
      <c r="R15" s="62"/>
      <c r="S15" s="62"/>
    </row>
    <row r="16" spans="1:19" ht="15.75" x14ac:dyDescent="0.2">
      <c r="A16" s="107">
        <f t="shared" si="0"/>
        <v>1</v>
      </c>
      <c r="B16" s="71">
        <f t="shared" si="1"/>
        <v>2</v>
      </c>
      <c r="C16" s="61" t="s">
        <v>123</v>
      </c>
      <c r="D16" s="62"/>
      <c r="E16" s="63" t="s">
        <v>62</v>
      </c>
      <c r="F16" s="115" t="s">
        <v>110</v>
      </c>
      <c r="G16" s="115"/>
      <c r="H16" s="115"/>
      <c r="I16" s="115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1:19" ht="15.75" x14ac:dyDescent="0.2">
      <c r="A17" s="107">
        <f t="shared" si="0"/>
        <v>1</v>
      </c>
      <c r="B17" s="71">
        <f t="shared" si="1"/>
        <v>3</v>
      </c>
      <c r="C17" s="61" t="s">
        <v>124</v>
      </c>
      <c r="D17" s="62"/>
      <c r="E17" s="63" t="s">
        <v>62</v>
      </c>
      <c r="F17" s="115" t="s">
        <v>111</v>
      </c>
      <c r="G17" s="115"/>
      <c r="H17" s="115"/>
      <c r="I17" s="61"/>
      <c r="J17" s="62"/>
      <c r="K17" s="62"/>
      <c r="L17" s="62"/>
      <c r="M17" s="62"/>
      <c r="N17" s="62"/>
      <c r="O17" s="62"/>
      <c r="P17" s="62"/>
      <c r="Q17" s="62"/>
      <c r="R17" s="62"/>
      <c r="S17" s="62"/>
    </row>
    <row r="18" spans="1:19" ht="15.75" x14ac:dyDescent="0.2">
      <c r="A18" s="107">
        <f t="shared" si="0"/>
        <v>1</v>
      </c>
      <c r="B18" s="71">
        <f t="shared" si="1"/>
        <v>4</v>
      </c>
      <c r="C18" s="61" t="s">
        <v>94</v>
      </c>
      <c r="D18" s="62"/>
      <c r="E18" s="63" t="s">
        <v>62</v>
      </c>
      <c r="F18" s="115" t="s">
        <v>112</v>
      </c>
      <c r="G18" s="115"/>
      <c r="H18" s="115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</row>
    <row r="19" spans="1:19" ht="15.75" x14ac:dyDescent="0.2">
      <c r="A19" s="107">
        <f t="shared" si="0"/>
        <v>1</v>
      </c>
      <c r="B19" s="71">
        <f t="shared" si="1"/>
        <v>5</v>
      </c>
      <c r="C19" s="61" t="s">
        <v>125</v>
      </c>
      <c r="D19" s="62"/>
      <c r="E19" s="63" t="s">
        <v>62</v>
      </c>
      <c r="F19" s="115" t="s">
        <v>113</v>
      </c>
      <c r="G19" s="115"/>
      <c r="H19" s="115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</row>
    <row r="20" spans="1:19" ht="18.600000000000001" customHeight="1" x14ac:dyDescent="0.2">
      <c r="A20" s="107">
        <f t="shared" si="0"/>
        <v>1</v>
      </c>
      <c r="B20" s="71">
        <f t="shared" si="1"/>
        <v>6</v>
      </c>
      <c r="C20" s="61" t="s">
        <v>126</v>
      </c>
      <c r="D20" s="62"/>
      <c r="E20" s="63" t="s">
        <v>62</v>
      </c>
      <c r="F20" s="115" t="s">
        <v>114</v>
      </c>
      <c r="G20" s="115"/>
      <c r="H20" s="115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</row>
    <row r="21" spans="1:19" x14ac:dyDescent="0.2">
      <c r="A21" s="105"/>
    </row>
    <row r="22" spans="1:19" ht="21" x14ac:dyDescent="0.35">
      <c r="A22" s="101"/>
      <c r="B22" s="67" t="s">
        <v>46</v>
      </c>
      <c r="C22" s="67"/>
      <c r="D22" s="67"/>
      <c r="E22" s="78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</row>
    <row r="23" spans="1:19" x14ac:dyDescent="0.2">
      <c r="A23" s="100"/>
      <c r="B23" s="55"/>
      <c r="C23" s="55"/>
      <c r="D23" s="55"/>
      <c r="E23" s="79"/>
      <c r="F23" s="80"/>
      <c r="G23" s="80"/>
      <c r="H23" s="80"/>
      <c r="I23" s="80"/>
      <c r="J23" s="55"/>
      <c r="K23" s="55"/>
      <c r="L23" s="55"/>
      <c r="M23" s="55"/>
      <c r="N23" s="79"/>
      <c r="O23" s="55"/>
      <c r="P23" s="55"/>
      <c r="Q23" s="55"/>
      <c r="R23" s="55"/>
      <c r="S23" s="55"/>
    </row>
    <row r="24" spans="1:19" ht="15.75" x14ac:dyDescent="0.25">
      <c r="A24" s="57"/>
      <c r="B24" s="5" t="s">
        <v>44</v>
      </c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</row>
    <row r="25" spans="1:19" ht="15.75" x14ac:dyDescent="0.25">
      <c r="A25" s="58" t="s">
        <v>41</v>
      </c>
      <c r="B25" s="69" t="s">
        <v>5</v>
      </c>
      <c r="C25" s="69"/>
      <c r="D25" s="69"/>
      <c r="E25" s="73" t="s">
        <v>7</v>
      </c>
      <c r="F25" s="73" t="s">
        <v>68</v>
      </c>
      <c r="G25" s="73" t="s">
        <v>39</v>
      </c>
      <c r="H25" s="73" t="s">
        <v>40</v>
      </c>
      <c r="I25" s="73" t="s">
        <v>69</v>
      </c>
      <c r="J25" s="94" t="s">
        <v>72</v>
      </c>
      <c r="K25" s="73"/>
      <c r="L25" s="73"/>
      <c r="M25" s="73"/>
      <c r="N25" s="73"/>
      <c r="O25" s="73"/>
      <c r="P25" s="73"/>
      <c r="Q25" s="73"/>
      <c r="R25" s="73"/>
      <c r="S25" s="73"/>
    </row>
    <row r="26" spans="1:19" x14ac:dyDescent="0.2">
      <c r="A26" s="127">
        <f>DiscountRate_Selection</f>
        <v>5.8999999999999997E-2</v>
      </c>
      <c r="B26" s="70" t="s">
        <v>81</v>
      </c>
      <c r="C26" s="72"/>
      <c r="D26" s="72"/>
      <c r="E26" s="77" t="s">
        <v>61</v>
      </c>
      <c r="F26" s="64">
        <v>5.8999999999999997E-2</v>
      </c>
      <c r="G26" s="64">
        <v>2.8500000000000001E-2</v>
      </c>
      <c r="H26" s="64">
        <v>8.9499999999999996E-2</v>
      </c>
      <c r="I26" s="88">
        <f>INDEX($F26:$H26,1,MATCH('R1 Interface and results'!$H12,$F$25:$H$25,0))</f>
        <v>5.8999999999999997E-2</v>
      </c>
      <c r="J26" s="128" t="s">
        <v>95</v>
      </c>
      <c r="K26" s="60"/>
      <c r="L26" s="60"/>
      <c r="M26" s="60"/>
      <c r="N26" s="60"/>
      <c r="O26" s="60"/>
      <c r="P26" s="60"/>
      <c r="Q26" s="60"/>
      <c r="R26" s="60"/>
      <c r="S26" s="60"/>
    </row>
    <row r="29" spans="1:19" x14ac:dyDescent="0.2">
      <c r="B29" s="24"/>
    </row>
  </sheetData>
  <dataValidations disablePrompts="1" count="1">
    <dataValidation type="list" allowBlank="1" showInputMessage="1" showErrorMessage="1" sqref="E14:E20">
      <formula1>"Yes, No"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E0D4A4"/>
  </sheetPr>
  <dimension ref="A1:AJ228"/>
  <sheetViews>
    <sheetView showGridLines="0" zoomScaleNormal="100" workbookViewId="0"/>
  </sheetViews>
  <sheetFormatPr defaultColWidth="8.88671875" defaultRowHeight="15" x14ac:dyDescent="0.2"/>
  <cols>
    <col min="1" max="1" width="9.5546875" style="111" customWidth="1"/>
    <col min="2" max="2" width="9.5546875" style="55" customWidth="1"/>
    <col min="3" max="4" width="20.6640625" style="55" customWidth="1"/>
    <col min="5" max="5" width="14.33203125" style="55" customWidth="1"/>
    <col min="6" max="30" width="14.6640625" style="55" customWidth="1"/>
    <col min="31" max="31" width="12.6640625" style="55" customWidth="1"/>
    <col min="32" max="35" width="12.6640625" style="56" customWidth="1"/>
    <col min="36" max="16384" width="8.88671875" style="55"/>
  </cols>
  <sheetData>
    <row r="1" spans="1:35" ht="18" x14ac:dyDescent="0.25">
      <c r="A1" s="108" t="str">
        <f ca="1">MID(CELL("filename",A2),FIND("]",CELL("filename",A2))+1,256)</f>
        <v>I2 CBA Inputs</v>
      </c>
    </row>
    <row r="2" spans="1:35" x14ac:dyDescent="0.2">
      <c r="A2" s="109" t="s">
        <v>34</v>
      </c>
      <c r="O2" s="80"/>
      <c r="P2" s="80"/>
      <c r="Q2" s="80"/>
      <c r="R2" s="80"/>
    </row>
    <row r="3" spans="1:35" x14ac:dyDescent="0.2">
      <c r="A3" s="97"/>
    </row>
    <row r="4" spans="1:35" ht="21" x14ac:dyDescent="0.35">
      <c r="A4" s="97"/>
      <c r="B4" s="67" t="s">
        <v>46</v>
      </c>
      <c r="C4" s="67"/>
      <c r="D4" s="67"/>
      <c r="E4" s="78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</row>
    <row r="5" spans="1:35" x14ac:dyDescent="0.2">
      <c r="A5" s="149"/>
      <c r="E5" s="75"/>
      <c r="F5" s="75"/>
      <c r="G5" s="75"/>
      <c r="H5" s="75"/>
      <c r="I5" s="75"/>
      <c r="J5" s="79"/>
      <c r="N5" s="79"/>
    </row>
    <row r="6" spans="1:35" ht="15.75" x14ac:dyDescent="0.25">
      <c r="A6" s="149"/>
      <c r="B6" s="68" t="s">
        <v>43</v>
      </c>
      <c r="C6" s="81"/>
      <c r="D6" s="81"/>
      <c r="E6" s="84"/>
      <c r="F6" s="84"/>
      <c r="G6" s="84"/>
      <c r="H6" s="84"/>
      <c r="I6" s="84"/>
      <c r="J6" s="82"/>
      <c r="K6" s="83"/>
      <c r="L6" s="83"/>
      <c r="M6" s="83"/>
      <c r="N6" s="83"/>
      <c r="O6" s="83"/>
      <c r="P6" s="83"/>
      <c r="Q6" s="83"/>
      <c r="R6" s="83"/>
      <c r="S6" s="83"/>
    </row>
    <row r="7" spans="1:35" ht="15.75" x14ac:dyDescent="0.25">
      <c r="A7" s="58" t="s">
        <v>41</v>
      </c>
      <c r="B7" s="69" t="s">
        <v>42</v>
      </c>
      <c r="C7" s="69"/>
      <c r="D7" s="69"/>
      <c r="E7" s="73" t="s">
        <v>7</v>
      </c>
      <c r="F7" s="73" t="s">
        <v>68</v>
      </c>
      <c r="G7" s="73" t="s">
        <v>39</v>
      </c>
      <c r="H7" s="73" t="s">
        <v>40</v>
      </c>
      <c r="I7" s="73" t="s">
        <v>69</v>
      </c>
      <c r="J7" s="94" t="s">
        <v>72</v>
      </c>
      <c r="K7" s="73"/>
      <c r="L7" s="73"/>
      <c r="M7" s="73"/>
      <c r="N7" s="73"/>
      <c r="O7" s="73"/>
      <c r="P7" s="73"/>
      <c r="Q7" s="73"/>
      <c r="R7" s="73"/>
      <c r="S7" s="73"/>
    </row>
    <row r="8" spans="1:35" x14ac:dyDescent="0.2">
      <c r="A8" s="150">
        <f>CapitalCost_Selection</f>
        <v>1</v>
      </c>
      <c r="B8" s="72" t="s">
        <v>17</v>
      </c>
      <c r="C8" s="72"/>
      <c r="D8" s="72"/>
      <c r="E8" s="77" t="s">
        <v>61</v>
      </c>
      <c r="F8" s="65">
        <v>1</v>
      </c>
      <c r="G8" s="65">
        <v>0.75</v>
      </c>
      <c r="H8" s="65">
        <v>1.25</v>
      </c>
      <c r="I8" s="89">
        <f>INDEX($F8:$H8,1,MATCH('R1 Interface and results'!$H13,$F$7:$H$7,0))</f>
        <v>1</v>
      </c>
      <c r="J8" s="151" t="s">
        <v>105</v>
      </c>
      <c r="K8" s="93"/>
      <c r="L8" s="93"/>
      <c r="M8" s="93"/>
      <c r="N8" s="93"/>
      <c r="O8" s="93"/>
      <c r="P8" s="93"/>
      <c r="Q8" s="93"/>
      <c r="R8" s="93"/>
      <c r="S8" s="93"/>
    </row>
    <row r="9" spans="1:35" x14ac:dyDescent="0.2">
      <c r="A9" s="150">
        <f>RoutineMain_Selection</f>
        <v>1</v>
      </c>
      <c r="B9" s="72" t="str">
        <f>+B28</f>
        <v>Operating and maintenance cost</v>
      </c>
      <c r="C9" s="72"/>
      <c r="D9" s="72"/>
      <c r="E9" s="77" t="s">
        <v>61</v>
      </c>
      <c r="F9" s="65">
        <v>1</v>
      </c>
      <c r="G9" s="65">
        <v>0.75</v>
      </c>
      <c r="H9" s="65">
        <v>1.25</v>
      </c>
      <c r="I9" s="89">
        <f>INDEX($F9:$H9,1,MATCH('R1 Interface and results'!$H14,$F$7:$H$7,0))</f>
        <v>1</v>
      </c>
      <c r="J9" s="151" t="s">
        <v>105</v>
      </c>
      <c r="K9" s="93"/>
      <c r="L9" s="93"/>
      <c r="M9" s="93"/>
      <c r="N9" s="93"/>
      <c r="O9" s="93"/>
      <c r="P9" s="93"/>
      <c r="Q9" s="93"/>
      <c r="R9" s="93"/>
      <c r="S9" s="93"/>
    </row>
    <row r="10" spans="1:35" x14ac:dyDescent="0.2">
      <c r="A10" s="110"/>
      <c r="K10" s="55" t="s">
        <v>106</v>
      </c>
      <c r="N10" s="79"/>
    </row>
    <row r="11" spans="1:35" ht="21" x14ac:dyDescent="0.35">
      <c r="A11" s="110"/>
      <c r="B11" s="67" t="s">
        <v>24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78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217"/>
      <c r="AG11" s="217"/>
      <c r="AH11" s="217"/>
      <c r="AI11" s="217"/>
    </row>
    <row r="12" spans="1:35" x14ac:dyDescent="0.2">
      <c r="A12" s="110"/>
      <c r="N12" s="79"/>
    </row>
    <row r="13" spans="1:35" ht="15.75" x14ac:dyDescent="0.25">
      <c r="A13" s="100"/>
      <c r="B13" s="68" t="s">
        <v>17</v>
      </c>
      <c r="C13" s="68"/>
      <c r="D13" s="68"/>
      <c r="E13" s="68"/>
      <c r="F13" s="68"/>
      <c r="G13" s="68"/>
      <c r="H13" s="68"/>
      <c r="I13" s="85" t="s">
        <v>73</v>
      </c>
    </row>
    <row r="14" spans="1:35" ht="33" customHeight="1" x14ac:dyDescent="0.2">
      <c r="A14" s="124" t="s">
        <v>20</v>
      </c>
      <c r="B14" s="114" t="s">
        <v>14</v>
      </c>
      <c r="C14" s="114" t="s">
        <v>13</v>
      </c>
      <c r="D14" s="129" t="s">
        <v>59</v>
      </c>
      <c r="E14" s="131" t="s">
        <v>21</v>
      </c>
      <c r="F14" s="114" t="s">
        <v>18</v>
      </c>
      <c r="G14" s="114" t="s">
        <v>19</v>
      </c>
      <c r="H14" s="114" t="s">
        <v>93</v>
      </c>
      <c r="I14" s="114" t="s">
        <v>20</v>
      </c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35" ht="15.75" x14ac:dyDescent="0.25">
      <c r="A15" s="125">
        <v>50</v>
      </c>
      <c r="B15" s="9">
        <v>0</v>
      </c>
      <c r="C15" s="153" t="str">
        <f>'I1 General Inputs'!$C$14</f>
        <v>Base case</v>
      </c>
      <c r="D15" s="203"/>
      <c r="E15" s="204"/>
      <c r="F15" s="205"/>
      <c r="G15" s="205"/>
      <c r="H15" s="205"/>
      <c r="I15" s="206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5" x14ac:dyDescent="0.2">
      <c r="A16" s="125">
        <v>30</v>
      </c>
      <c r="B16" s="9">
        <v>1</v>
      </c>
      <c r="C16" s="152" t="str">
        <f>'I1 General Inputs'!$C$15</f>
        <v>Option 1A</v>
      </c>
      <c r="D16" s="46" t="s">
        <v>107</v>
      </c>
      <c r="E16" s="200">
        <v>141600000</v>
      </c>
      <c r="F16" s="201">
        <v>2022</v>
      </c>
      <c r="G16" s="201">
        <v>2022</v>
      </c>
      <c r="H16" s="201">
        <v>2022</v>
      </c>
      <c r="I16" s="202">
        <v>40</v>
      </c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</row>
    <row r="17" spans="1:36" x14ac:dyDescent="0.2">
      <c r="A17" s="125">
        <v>15</v>
      </c>
      <c r="B17" s="9">
        <v>1</v>
      </c>
      <c r="C17" s="152" t="str">
        <f>'I1 General Inputs'!$C$15</f>
        <v>Option 1A</v>
      </c>
      <c r="D17" s="203" t="s">
        <v>108</v>
      </c>
      <c r="E17" s="204">
        <v>33500000</v>
      </c>
      <c r="F17" s="205">
        <v>2022</v>
      </c>
      <c r="G17" s="205">
        <v>2022</v>
      </c>
      <c r="H17" s="205">
        <v>2022</v>
      </c>
      <c r="I17" s="206">
        <v>50</v>
      </c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</row>
    <row r="18" spans="1:36" x14ac:dyDescent="0.2">
      <c r="A18" s="125">
        <v>10</v>
      </c>
      <c r="B18" s="9">
        <v>2</v>
      </c>
      <c r="C18" s="152" t="str">
        <f>'I1 General Inputs'!$C$16</f>
        <v>Option 1B</v>
      </c>
      <c r="D18" s="225" t="s">
        <v>108</v>
      </c>
      <c r="E18" s="226">
        <v>33500000</v>
      </c>
      <c r="F18" s="227">
        <v>2022</v>
      </c>
      <c r="G18" s="227">
        <v>2022</v>
      </c>
      <c r="H18" s="227">
        <v>2022</v>
      </c>
      <c r="I18" s="228">
        <v>50</v>
      </c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</row>
    <row r="19" spans="1:36" x14ac:dyDescent="0.2">
      <c r="A19" s="125">
        <v>5</v>
      </c>
      <c r="B19" s="9">
        <v>3</v>
      </c>
      <c r="C19" s="152" t="str">
        <f>'I1 General Inputs'!$C$17</f>
        <v>Option 1C</v>
      </c>
      <c r="D19" s="225" t="s">
        <v>107</v>
      </c>
      <c r="E19" s="226">
        <v>141600000</v>
      </c>
      <c r="F19" s="227">
        <v>2022</v>
      </c>
      <c r="G19" s="227">
        <v>2022</v>
      </c>
      <c r="H19" s="227">
        <v>2022</v>
      </c>
      <c r="I19" s="228">
        <v>40</v>
      </c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</row>
    <row r="20" spans="1:36" x14ac:dyDescent="0.2">
      <c r="A20" s="125">
        <v>3</v>
      </c>
      <c r="B20" s="9">
        <v>4</v>
      </c>
      <c r="C20" s="152" t="str">
        <f>'I1 General Inputs'!$C$18</f>
        <v>Option 1D</v>
      </c>
      <c r="D20" s="203" t="s">
        <v>107</v>
      </c>
      <c r="E20" s="204">
        <v>45000000</v>
      </c>
      <c r="F20" s="205">
        <v>2022</v>
      </c>
      <c r="G20" s="205">
        <v>2022</v>
      </c>
      <c r="H20" s="205">
        <v>2022</v>
      </c>
      <c r="I20" s="206">
        <v>40</v>
      </c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</row>
    <row r="21" spans="1:36" x14ac:dyDescent="0.2">
      <c r="A21" s="100"/>
      <c r="B21" s="9">
        <v>5</v>
      </c>
      <c r="C21" s="152" t="str">
        <f>'I1 General Inputs'!$C$19</f>
        <v>Option 5A</v>
      </c>
      <c r="D21" s="177" t="s">
        <v>136</v>
      </c>
      <c r="E21" s="164">
        <v>59000000</v>
      </c>
      <c r="F21" s="163">
        <v>2022</v>
      </c>
      <c r="G21" s="163">
        <v>2022</v>
      </c>
      <c r="H21" s="163">
        <v>2022</v>
      </c>
      <c r="I21" s="165">
        <v>15</v>
      </c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6" x14ac:dyDescent="0.2">
      <c r="A22" s="100"/>
      <c r="B22" s="9">
        <v>5</v>
      </c>
      <c r="C22" s="152" t="str">
        <f>'I1 General Inputs'!$C$19</f>
        <v>Option 5A</v>
      </c>
      <c r="D22" s="177" t="s">
        <v>136</v>
      </c>
      <c r="E22" s="164">
        <v>23600000</v>
      </c>
      <c r="F22" s="163">
        <v>2037</v>
      </c>
      <c r="G22" s="163">
        <v>2037</v>
      </c>
      <c r="H22" s="163">
        <v>2037</v>
      </c>
      <c r="I22" s="165">
        <v>15</v>
      </c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6" x14ac:dyDescent="0.2">
      <c r="A23" s="100"/>
      <c r="B23" s="9">
        <v>5</v>
      </c>
      <c r="C23" s="152" t="str">
        <f>'I1 General Inputs'!$C$19</f>
        <v>Option 5A</v>
      </c>
      <c r="D23" s="203" t="s">
        <v>140</v>
      </c>
      <c r="E23" s="204">
        <v>27000000</v>
      </c>
      <c r="F23" s="205">
        <v>2022</v>
      </c>
      <c r="G23" s="205">
        <v>2022</v>
      </c>
      <c r="H23" s="205">
        <v>2022</v>
      </c>
      <c r="I23" s="206">
        <v>50</v>
      </c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6" x14ac:dyDescent="0.2">
      <c r="A24" s="97"/>
      <c r="B24" s="9">
        <v>6</v>
      </c>
      <c r="C24" s="152" t="str">
        <f>'I1 General Inputs'!$C$20</f>
        <v>Option 5B</v>
      </c>
      <c r="D24" s="177" t="s">
        <v>136</v>
      </c>
      <c r="E24" s="164">
        <v>300000000</v>
      </c>
      <c r="F24" s="163">
        <v>2022</v>
      </c>
      <c r="G24" s="163">
        <v>2022</v>
      </c>
      <c r="H24" s="163">
        <v>2022</v>
      </c>
      <c r="I24" s="165">
        <v>15</v>
      </c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6" x14ac:dyDescent="0.2">
      <c r="A25" s="97"/>
      <c r="B25" s="9">
        <v>6</v>
      </c>
      <c r="C25" s="152" t="str">
        <f>'I1 General Inputs'!$C$20</f>
        <v>Option 5B</v>
      </c>
      <c r="D25" s="177" t="s">
        <v>136</v>
      </c>
      <c r="E25" s="164">
        <v>120000000</v>
      </c>
      <c r="F25" s="163">
        <v>2037</v>
      </c>
      <c r="G25" s="163">
        <v>2037</v>
      </c>
      <c r="H25" s="163">
        <v>2037</v>
      </c>
      <c r="I25" s="165">
        <v>15</v>
      </c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</row>
    <row r="26" spans="1:36" x14ac:dyDescent="0.2">
      <c r="A26" s="97"/>
      <c r="B26" s="9">
        <v>6</v>
      </c>
      <c r="C26" s="152" t="str">
        <f>'I1 General Inputs'!$C$20</f>
        <v>Option 5B</v>
      </c>
      <c r="D26" s="203" t="s">
        <v>140</v>
      </c>
      <c r="E26" s="204">
        <v>41000000</v>
      </c>
      <c r="F26" s="205">
        <v>2022</v>
      </c>
      <c r="G26" s="205">
        <v>2022</v>
      </c>
      <c r="H26" s="205">
        <v>2022</v>
      </c>
      <c r="I26" s="206">
        <v>50</v>
      </c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</row>
    <row r="27" spans="1:36" x14ac:dyDescent="0.2">
      <c r="A27" s="97"/>
      <c r="B27" s="133"/>
    </row>
    <row r="28" spans="1:36" ht="15.75" x14ac:dyDescent="0.25">
      <c r="A28" s="97"/>
      <c r="B28" s="68" t="s">
        <v>103</v>
      </c>
      <c r="C28" s="68"/>
      <c r="D28" s="68"/>
      <c r="E28" s="76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145"/>
      <c r="AG28" s="145"/>
      <c r="AH28" s="145"/>
      <c r="AI28" s="145"/>
    </row>
    <row r="29" spans="1:36" ht="15.75" x14ac:dyDescent="0.25">
      <c r="A29" s="97"/>
      <c r="B29" s="69" t="s">
        <v>14</v>
      </c>
      <c r="C29" s="69" t="s">
        <v>13</v>
      </c>
      <c r="D29" s="69"/>
      <c r="E29" s="73" t="s">
        <v>7</v>
      </c>
      <c r="F29" s="69">
        <f>FirstYear</f>
        <v>2020</v>
      </c>
      <c r="G29" s="69">
        <f>+F29+1</f>
        <v>2021</v>
      </c>
      <c r="H29" s="69">
        <f t="shared" ref="H29:AE29" si="0">+G29+1</f>
        <v>2022</v>
      </c>
      <c r="I29" s="69">
        <f t="shared" si="0"/>
        <v>2023</v>
      </c>
      <c r="J29" s="69">
        <f t="shared" si="0"/>
        <v>2024</v>
      </c>
      <c r="K29" s="69">
        <f t="shared" si="0"/>
        <v>2025</v>
      </c>
      <c r="L29" s="69">
        <f t="shared" si="0"/>
        <v>2026</v>
      </c>
      <c r="M29" s="69">
        <f t="shared" si="0"/>
        <v>2027</v>
      </c>
      <c r="N29" s="69">
        <f t="shared" si="0"/>
        <v>2028</v>
      </c>
      <c r="O29" s="69">
        <f t="shared" si="0"/>
        <v>2029</v>
      </c>
      <c r="P29" s="69">
        <f t="shared" si="0"/>
        <v>2030</v>
      </c>
      <c r="Q29" s="69">
        <f t="shared" si="0"/>
        <v>2031</v>
      </c>
      <c r="R29" s="69">
        <f t="shared" si="0"/>
        <v>2032</v>
      </c>
      <c r="S29" s="69">
        <f t="shared" si="0"/>
        <v>2033</v>
      </c>
      <c r="T29" s="69">
        <f t="shared" si="0"/>
        <v>2034</v>
      </c>
      <c r="U29" s="69">
        <f t="shared" si="0"/>
        <v>2035</v>
      </c>
      <c r="V29" s="69">
        <f t="shared" si="0"/>
        <v>2036</v>
      </c>
      <c r="W29" s="69">
        <f t="shared" si="0"/>
        <v>2037</v>
      </c>
      <c r="X29" s="69">
        <f t="shared" si="0"/>
        <v>2038</v>
      </c>
      <c r="Y29" s="69">
        <f t="shared" si="0"/>
        <v>2039</v>
      </c>
      <c r="Z29" s="69">
        <f t="shared" si="0"/>
        <v>2040</v>
      </c>
      <c r="AA29" s="69">
        <f t="shared" si="0"/>
        <v>2041</v>
      </c>
      <c r="AB29" s="69">
        <f t="shared" si="0"/>
        <v>2042</v>
      </c>
      <c r="AC29" s="69">
        <f t="shared" si="0"/>
        <v>2043</v>
      </c>
      <c r="AD29" s="69">
        <f t="shared" si="0"/>
        <v>2044</v>
      </c>
      <c r="AE29" s="69">
        <f t="shared" si="0"/>
        <v>2045</v>
      </c>
      <c r="AF29" s="218"/>
      <c r="AG29" s="218"/>
      <c r="AH29" s="218"/>
      <c r="AI29" s="218"/>
    </row>
    <row r="30" spans="1:36" x14ac:dyDescent="0.2">
      <c r="A30" s="97"/>
      <c r="B30" s="9">
        <v>0</v>
      </c>
      <c r="C30" s="153" t="str">
        <f>'I1 General Inputs'!$C$14</f>
        <v>Base case</v>
      </c>
      <c r="D30" s="72"/>
      <c r="E30" s="77" t="s">
        <v>35</v>
      </c>
      <c r="F30" s="164">
        <v>0</v>
      </c>
      <c r="G30" s="164">
        <v>0</v>
      </c>
      <c r="H30" s="164">
        <v>0</v>
      </c>
      <c r="I30" s="164">
        <v>0</v>
      </c>
      <c r="J30" s="164">
        <v>0</v>
      </c>
      <c r="K30" s="164">
        <v>0</v>
      </c>
      <c r="L30" s="164">
        <v>0</v>
      </c>
      <c r="M30" s="164">
        <v>0</v>
      </c>
      <c r="N30" s="164">
        <v>0</v>
      </c>
      <c r="O30" s="164">
        <v>0</v>
      </c>
      <c r="P30" s="164">
        <v>0</v>
      </c>
      <c r="Q30" s="164">
        <v>0</v>
      </c>
      <c r="R30" s="164">
        <v>0</v>
      </c>
      <c r="S30" s="164">
        <v>0</v>
      </c>
      <c r="T30" s="164">
        <v>0</v>
      </c>
      <c r="U30" s="164">
        <v>0</v>
      </c>
      <c r="V30" s="164">
        <v>0</v>
      </c>
      <c r="W30" s="164">
        <v>0</v>
      </c>
      <c r="X30" s="164">
        <v>0</v>
      </c>
      <c r="Y30" s="164">
        <v>0</v>
      </c>
      <c r="Z30" s="164">
        <v>0</v>
      </c>
      <c r="AA30" s="164">
        <v>0</v>
      </c>
      <c r="AB30" s="164">
        <v>0</v>
      </c>
      <c r="AC30" s="164">
        <v>0</v>
      </c>
      <c r="AD30" s="164">
        <v>0</v>
      </c>
      <c r="AE30" s="164">
        <v>0</v>
      </c>
      <c r="AF30" s="219"/>
      <c r="AG30" s="219"/>
      <c r="AH30" s="219"/>
      <c r="AI30" s="219"/>
    </row>
    <row r="31" spans="1:36" x14ac:dyDescent="0.2">
      <c r="A31" s="97"/>
      <c r="B31" s="9">
        <v>1</v>
      </c>
      <c r="C31" s="152" t="str">
        <f>'I1 General Inputs'!$C$15</f>
        <v>Option 1A</v>
      </c>
      <c r="D31" s="72"/>
      <c r="E31" s="77" t="s">
        <v>35</v>
      </c>
      <c r="F31" s="164">
        <v>0</v>
      </c>
      <c r="G31" s="164">
        <v>0</v>
      </c>
      <c r="H31" s="164">
        <v>0</v>
      </c>
      <c r="I31" s="164">
        <v>1751000</v>
      </c>
      <c r="J31" s="164">
        <v>1751000</v>
      </c>
      <c r="K31" s="164">
        <v>1751000</v>
      </c>
      <c r="L31" s="164">
        <v>1751000</v>
      </c>
      <c r="M31" s="164">
        <v>1751000</v>
      </c>
      <c r="N31" s="164">
        <v>1751000</v>
      </c>
      <c r="O31" s="164">
        <v>1751000</v>
      </c>
      <c r="P31" s="198">
        <v>1791000</v>
      </c>
      <c r="Q31" s="164">
        <v>1751000</v>
      </c>
      <c r="R31" s="164">
        <v>1751000</v>
      </c>
      <c r="S31" s="164">
        <v>1751000</v>
      </c>
      <c r="T31" s="164">
        <v>1751000</v>
      </c>
      <c r="U31" s="164">
        <v>1751000</v>
      </c>
      <c r="V31" s="164">
        <v>1751000</v>
      </c>
      <c r="W31" s="198">
        <v>10151000</v>
      </c>
      <c r="X31" s="198">
        <v>1791000</v>
      </c>
      <c r="Y31" s="164">
        <v>1751000</v>
      </c>
      <c r="Z31" s="164">
        <v>1751000</v>
      </c>
      <c r="AA31" s="164">
        <v>1751000</v>
      </c>
      <c r="AB31" s="164">
        <v>1751000</v>
      </c>
      <c r="AC31" s="164">
        <v>1751000</v>
      </c>
      <c r="AD31" s="164">
        <v>1751000</v>
      </c>
      <c r="AE31" s="164">
        <v>1751000</v>
      </c>
      <c r="AF31" s="219"/>
      <c r="AG31" s="219"/>
      <c r="AH31" s="219"/>
      <c r="AI31" s="219"/>
      <c r="AJ31" s="130"/>
    </row>
    <row r="32" spans="1:36" x14ac:dyDescent="0.2">
      <c r="A32" s="97"/>
      <c r="B32" s="9">
        <v>2</v>
      </c>
      <c r="C32" s="152" t="str">
        <f>'I1 General Inputs'!$C$16</f>
        <v>Option 1B</v>
      </c>
      <c r="D32" s="72"/>
      <c r="E32" s="77" t="s">
        <v>35</v>
      </c>
      <c r="F32" s="164">
        <v>0</v>
      </c>
      <c r="G32" s="164">
        <v>0</v>
      </c>
      <c r="H32" s="164">
        <v>0</v>
      </c>
      <c r="I32" s="164">
        <v>335000</v>
      </c>
      <c r="J32" s="164">
        <v>335000</v>
      </c>
      <c r="K32" s="164">
        <v>335000</v>
      </c>
      <c r="L32" s="164">
        <v>335000</v>
      </c>
      <c r="M32" s="164">
        <v>335000</v>
      </c>
      <c r="N32" s="164">
        <v>335000</v>
      </c>
      <c r="O32" s="164">
        <v>335000</v>
      </c>
      <c r="P32" s="164">
        <v>335000</v>
      </c>
      <c r="Q32" s="164">
        <v>335000</v>
      </c>
      <c r="R32" s="164">
        <v>335000</v>
      </c>
      <c r="S32" s="164">
        <v>335000</v>
      </c>
      <c r="T32" s="164">
        <v>335000</v>
      </c>
      <c r="U32" s="164">
        <v>335000</v>
      </c>
      <c r="V32" s="164">
        <v>335000</v>
      </c>
      <c r="W32" s="164">
        <v>335000</v>
      </c>
      <c r="X32" s="164">
        <v>335000</v>
      </c>
      <c r="Y32" s="164">
        <v>335000</v>
      </c>
      <c r="Z32" s="164">
        <v>335000</v>
      </c>
      <c r="AA32" s="164">
        <v>335000</v>
      </c>
      <c r="AB32" s="164">
        <v>335000</v>
      </c>
      <c r="AC32" s="164">
        <v>335000</v>
      </c>
      <c r="AD32" s="164">
        <v>335000</v>
      </c>
      <c r="AE32" s="164">
        <v>335000</v>
      </c>
      <c r="AF32" s="219"/>
      <c r="AG32" s="219"/>
      <c r="AH32" s="219"/>
      <c r="AI32" s="219"/>
      <c r="AJ32" s="130"/>
    </row>
    <row r="33" spans="1:36" x14ac:dyDescent="0.2">
      <c r="A33" s="97"/>
      <c r="B33" s="9">
        <v>3</v>
      </c>
      <c r="C33" s="152" t="str">
        <f>'I1 General Inputs'!$C$17</f>
        <v>Option 1C</v>
      </c>
      <c r="D33" s="72"/>
      <c r="E33" s="77" t="s">
        <v>35</v>
      </c>
      <c r="F33" s="164">
        <v>0</v>
      </c>
      <c r="G33" s="164">
        <v>0</v>
      </c>
      <c r="H33" s="164">
        <v>0</v>
      </c>
      <c r="I33" s="164">
        <v>1416000</v>
      </c>
      <c r="J33" s="164">
        <v>1416000</v>
      </c>
      <c r="K33" s="164">
        <v>1416000</v>
      </c>
      <c r="L33" s="164">
        <v>1416000</v>
      </c>
      <c r="M33" s="164">
        <v>1416000</v>
      </c>
      <c r="N33" s="164">
        <v>1416000</v>
      </c>
      <c r="O33" s="164">
        <v>1416000</v>
      </c>
      <c r="P33" s="198">
        <v>1456000</v>
      </c>
      <c r="Q33" s="164">
        <v>1416000</v>
      </c>
      <c r="R33" s="164">
        <v>1416000</v>
      </c>
      <c r="S33" s="164">
        <v>1416000</v>
      </c>
      <c r="T33" s="164">
        <v>1416000</v>
      </c>
      <c r="U33" s="164">
        <v>1416000</v>
      </c>
      <c r="V33" s="164">
        <v>1416000</v>
      </c>
      <c r="W33" s="198">
        <v>9816000</v>
      </c>
      <c r="X33" s="198">
        <v>1456000</v>
      </c>
      <c r="Y33" s="164">
        <v>1416000</v>
      </c>
      <c r="Z33" s="164">
        <v>1416000</v>
      </c>
      <c r="AA33" s="164">
        <v>1416000</v>
      </c>
      <c r="AB33" s="164">
        <v>1416000</v>
      </c>
      <c r="AC33" s="164">
        <v>1416000</v>
      </c>
      <c r="AD33" s="164">
        <v>1416000</v>
      </c>
      <c r="AE33" s="164">
        <v>1416000</v>
      </c>
      <c r="AF33" s="219"/>
      <c r="AG33" s="219"/>
      <c r="AH33" s="219"/>
      <c r="AI33" s="219"/>
      <c r="AJ33" s="130"/>
    </row>
    <row r="34" spans="1:36" x14ac:dyDescent="0.2">
      <c r="A34" s="97"/>
      <c r="B34" s="9">
        <v>4</v>
      </c>
      <c r="C34" s="152" t="str">
        <f>'I1 General Inputs'!$C$18</f>
        <v>Option 1D</v>
      </c>
      <c r="D34" s="72"/>
      <c r="E34" s="77" t="s">
        <v>35</v>
      </c>
      <c r="F34" s="164">
        <v>0</v>
      </c>
      <c r="G34" s="164">
        <v>0</v>
      </c>
      <c r="H34" s="164">
        <v>0</v>
      </c>
      <c r="I34" s="164">
        <v>450000</v>
      </c>
      <c r="J34" s="164">
        <v>450000</v>
      </c>
      <c r="K34" s="164">
        <v>450000</v>
      </c>
      <c r="L34" s="164">
        <v>450000</v>
      </c>
      <c r="M34" s="164">
        <v>450000</v>
      </c>
      <c r="N34" s="164">
        <v>450000</v>
      </c>
      <c r="O34" s="164">
        <v>450000</v>
      </c>
      <c r="P34" s="164">
        <v>450000</v>
      </c>
      <c r="Q34" s="164">
        <v>450000</v>
      </c>
      <c r="R34" s="164">
        <v>450000</v>
      </c>
      <c r="S34" s="164">
        <v>450000</v>
      </c>
      <c r="T34" s="164">
        <v>450000</v>
      </c>
      <c r="U34" s="164">
        <v>450000</v>
      </c>
      <c r="V34" s="164">
        <v>450000</v>
      </c>
      <c r="W34" s="164">
        <v>450000</v>
      </c>
      <c r="X34" s="164">
        <v>450000</v>
      </c>
      <c r="Y34" s="164">
        <v>450000</v>
      </c>
      <c r="Z34" s="164">
        <v>450000</v>
      </c>
      <c r="AA34" s="164">
        <v>450000</v>
      </c>
      <c r="AB34" s="164">
        <v>450000</v>
      </c>
      <c r="AC34" s="164">
        <v>450000</v>
      </c>
      <c r="AD34" s="164">
        <v>450000</v>
      </c>
      <c r="AE34" s="164">
        <v>450000</v>
      </c>
      <c r="AF34" s="219"/>
      <c r="AG34" s="219"/>
      <c r="AH34" s="219"/>
      <c r="AI34" s="219"/>
      <c r="AJ34" s="130"/>
    </row>
    <row r="35" spans="1:36" x14ac:dyDescent="0.2">
      <c r="A35" s="97"/>
      <c r="B35" s="9">
        <v>5</v>
      </c>
      <c r="C35" s="152" t="str">
        <f>'I1 General Inputs'!$C$19</f>
        <v>Option 5A</v>
      </c>
      <c r="D35" s="72"/>
      <c r="E35" s="77" t="s">
        <v>35</v>
      </c>
      <c r="F35" s="164">
        <v>0</v>
      </c>
      <c r="G35" s="164">
        <v>0</v>
      </c>
      <c r="H35" s="164">
        <v>0</v>
      </c>
      <c r="I35" s="164">
        <v>860000</v>
      </c>
      <c r="J35" s="164">
        <v>860000</v>
      </c>
      <c r="K35" s="164">
        <v>860000</v>
      </c>
      <c r="L35" s="164">
        <v>860000</v>
      </c>
      <c r="M35" s="164">
        <v>860000</v>
      </c>
      <c r="N35" s="164">
        <v>860000</v>
      </c>
      <c r="O35" s="164">
        <v>860000</v>
      </c>
      <c r="P35" s="164">
        <v>860000</v>
      </c>
      <c r="Q35" s="164">
        <v>860000</v>
      </c>
      <c r="R35" s="164">
        <v>860000</v>
      </c>
      <c r="S35" s="164">
        <v>860000</v>
      </c>
      <c r="T35" s="164">
        <v>860000</v>
      </c>
      <c r="U35" s="164">
        <v>860000</v>
      </c>
      <c r="V35" s="164">
        <v>860000</v>
      </c>
      <c r="W35" s="164">
        <v>860000</v>
      </c>
      <c r="X35" s="199">
        <v>506000</v>
      </c>
      <c r="Y35" s="164">
        <v>506000</v>
      </c>
      <c r="Z35" s="164">
        <v>506000</v>
      </c>
      <c r="AA35" s="164">
        <v>506000</v>
      </c>
      <c r="AB35" s="164">
        <v>506000</v>
      </c>
      <c r="AC35" s="164">
        <v>506000</v>
      </c>
      <c r="AD35" s="164">
        <v>506000</v>
      </c>
      <c r="AE35" s="164">
        <v>506000</v>
      </c>
      <c r="AF35" s="219"/>
      <c r="AG35" s="219"/>
      <c r="AH35" s="219"/>
      <c r="AI35" s="219"/>
      <c r="AJ35" s="130"/>
    </row>
    <row r="36" spans="1:36" x14ac:dyDescent="0.2">
      <c r="A36" s="97"/>
      <c r="B36" s="9">
        <v>6</v>
      </c>
      <c r="C36" s="152" t="str">
        <f>'I1 General Inputs'!$C$20</f>
        <v>Option 5B</v>
      </c>
      <c r="D36" s="72"/>
      <c r="E36" s="77" t="s">
        <v>35</v>
      </c>
      <c r="F36" s="164">
        <v>0</v>
      </c>
      <c r="G36" s="164">
        <v>0</v>
      </c>
      <c r="H36" s="164">
        <v>0</v>
      </c>
      <c r="I36" s="164">
        <v>3410000</v>
      </c>
      <c r="J36" s="164">
        <v>3410000</v>
      </c>
      <c r="K36" s="164">
        <v>3410000</v>
      </c>
      <c r="L36" s="164">
        <v>3410000</v>
      </c>
      <c r="M36" s="164">
        <v>3410000</v>
      </c>
      <c r="N36" s="164">
        <v>3410000</v>
      </c>
      <c r="O36" s="164">
        <v>3410000</v>
      </c>
      <c r="P36" s="164">
        <v>3410000</v>
      </c>
      <c r="Q36" s="164">
        <v>3410000</v>
      </c>
      <c r="R36" s="164">
        <v>3410000</v>
      </c>
      <c r="S36" s="164">
        <v>3410000</v>
      </c>
      <c r="T36" s="164">
        <v>3410000</v>
      </c>
      <c r="U36" s="164">
        <v>3410000</v>
      </c>
      <c r="V36" s="164">
        <v>3410000</v>
      </c>
      <c r="W36" s="164">
        <v>3410000</v>
      </c>
      <c r="X36" s="199">
        <v>1610000</v>
      </c>
      <c r="Y36" s="164">
        <v>1610000</v>
      </c>
      <c r="Z36" s="164">
        <v>1610000</v>
      </c>
      <c r="AA36" s="164">
        <v>1610000</v>
      </c>
      <c r="AB36" s="164">
        <v>1610000</v>
      </c>
      <c r="AC36" s="164">
        <v>1610000</v>
      </c>
      <c r="AD36" s="164">
        <v>1610000</v>
      </c>
      <c r="AE36" s="164">
        <v>1610000</v>
      </c>
      <c r="AF36" s="219"/>
      <c r="AG36" s="219"/>
      <c r="AH36" s="219"/>
      <c r="AI36" s="219"/>
      <c r="AJ36" s="130"/>
    </row>
    <row r="37" spans="1:36" x14ac:dyDescent="0.2">
      <c r="E37" s="75"/>
    </row>
    <row r="38" spans="1:36" ht="21" x14ac:dyDescent="0.35">
      <c r="B38" s="67" t="s">
        <v>25</v>
      </c>
      <c r="C38" s="67"/>
      <c r="D38" s="67"/>
      <c r="E38" s="86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217"/>
      <c r="AG38" s="217"/>
      <c r="AH38" s="217"/>
      <c r="AI38" s="217"/>
    </row>
    <row r="39" spans="1:36" x14ac:dyDescent="0.2">
      <c r="B39" s="133"/>
      <c r="E39" s="75"/>
    </row>
    <row r="40" spans="1:36" ht="15.75" x14ac:dyDescent="0.25">
      <c r="B40" s="68" t="s">
        <v>80</v>
      </c>
      <c r="C40" s="68"/>
      <c r="D40" s="68"/>
      <c r="E40" s="142" t="s">
        <v>31</v>
      </c>
      <c r="F40" s="144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145"/>
      <c r="AG40" s="145"/>
      <c r="AH40" s="145"/>
      <c r="AI40" s="145"/>
    </row>
    <row r="41" spans="1:36" s="56" customFormat="1" ht="15.75" x14ac:dyDescent="0.25">
      <c r="A41" s="110"/>
      <c r="B41" s="145"/>
      <c r="C41" s="145"/>
      <c r="D41" s="145"/>
      <c r="E41" s="146"/>
      <c r="F41" s="146"/>
      <c r="G41" s="146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</row>
    <row r="42" spans="1:36" ht="15.75" x14ac:dyDescent="0.25">
      <c r="B42" s="69" t="s">
        <v>14</v>
      </c>
      <c r="C42" s="69" t="s">
        <v>13</v>
      </c>
      <c r="D42" s="94" t="s">
        <v>115</v>
      </c>
      <c r="E42" s="73" t="s">
        <v>7</v>
      </c>
      <c r="F42" s="69">
        <f>FirstYear</f>
        <v>2020</v>
      </c>
      <c r="G42" s="69">
        <f>+F42+1</f>
        <v>2021</v>
      </c>
      <c r="H42" s="69">
        <f t="shared" ref="H42" si="1">+G42+1</f>
        <v>2022</v>
      </c>
      <c r="I42" s="69">
        <f t="shared" ref="I42" si="2">+H42+1</f>
        <v>2023</v>
      </c>
      <c r="J42" s="69">
        <f t="shared" ref="J42" si="3">+I42+1</f>
        <v>2024</v>
      </c>
      <c r="K42" s="69">
        <f t="shared" ref="K42" si="4">+J42+1</f>
        <v>2025</v>
      </c>
      <c r="L42" s="69">
        <f t="shared" ref="L42" si="5">+K42+1</f>
        <v>2026</v>
      </c>
      <c r="M42" s="69">
        <f t="shared" ref="M42" si="6">+L42+1</f>
        <v>2027</v>
      </c>
      <c r="N42" s="69">
        <f t="shared" ref="N42" si="7">+M42+1</f>
        <v>2028</v>
      </c>
      <c r="O42" s="69">
        <f t="shared" ref="O42" si="8">+N42+1</f>
        <v>2029</v>
      </c>
      <c r="P42" s="69">
        <f t="shared" ref="P42" si="9">+O42+1</f>
        <v>2030</v>
      </c>
      <c r="Q42" s="69">
        <f t="shared" ref="Q42" si="10">+P42+1</f>
        <v>2031</v>
      </c>
      <c r="R42" s="69">
        <f t="shared" ref="R42" si="11">+Q42+1</f>
        <v>2032</v>
      </c>
      <c r="S42" s="69">
        <f t="shared" ref="S42" si="12">+R42+1</f>
        <v>2033</v>
      </c>
      <c r="T42" s="69">
        <f t="shared" ref="T42" si="13">+S42+1</f>
        <v>2034</v>
      </c>
      <c r="U42" s="69">
        <f t="shared" ref="U42" si="14">+T42+1</f>
        <v>2035</v>
      </c>
      <c r="V42" s="69">
        <f t="shared" ref="V42" si="15">+U42+1</f>
        <v>2036</v>
      </c>
      <c r="W42" s="69">
        <f t="shared" ref="W42" si="16">+V42+1</f>
        <v>2037</v>
      </c>
      <c r="X42" s="69">
        <f t="shared" ref="X42" si="17">+W42+1</f>
        <v>2038</v>
      </c>
      <c r="Y42" s="69">
        <f t="shared" ref="Y42" si="18">+X42+1</f>
        <v>2039</v>
      </c>
      <c r="Z42" s="69">
        <f t="shared" ref="Z42" si="19">+Y42+1</f>
        <v>2040</v>
      </c>
      <c r="AA42" s="69">
        <f t="shared" ref="AA42" si="20">+Z42+1</f>
        <v>2041</v>
      </c>
      <c r="AB42" s="69">
        <f t="shared" ref="AB42" si="21">+AA42+1</f>
        <v>2042</v>
      </c>
      <c r="AC42" s="69">
        <f t="shared" ref="AC42" si="22">+AB42+1</f>
        <v>2043</v>
      </c>
      <c r="AD42" s="69">
        <f t="shared" ref="AD42" si="23">+AC42+1</f>
        <v>2044</v>
      </c>
      <c r="AE42" s="69">
        <f t="shared" ref="AE42" si="24">+AD42+1</f>
        <v>2045</v>
      </c>
      <c r="AF42" s="218"/>
      <c r="AG42" s="218"/>
      <c r="AH42" s="218"/>
      <c r="AI42" s="218"/>
    </row>
    <row r="43" spans="1:36" x14ac:dyDescent="0.2">
      <c r="B43" s="9">
        <v>0</v>
      </c>
      <c r="C43" s="153" t="str">
        <f>'I1 General Inputs'!$C$14</f>
        <v>Base case</v>
      </c>
      <c r="D43" s="72"/>
      <c r="E43" s="77" t="s">
        <v>35</v>
      </c>
      <c r="F43" s="164">
        <v>0</v>
      </c>
      <c r="G43" s="164">
        <v>652995.02068396006</v>
      </c>
      <c r="H43" s="164">
        <v>8755788.4589367304</v>
      </c>
      <c r="I43" s="164">
        <v>90862357.101374835</v>
      </c>
      <c r="J43" s="164">
        <v>73661839.775695115</v>
      </c>
      <c r="K43" s="164">
        <v>149503826.38891304</v>
      </c>
      <c r="L43" s="164">
        <v>1.9040452569460502</v>
      </c>
      <c r="M43" s="164">
        <v>2.0163190578120354</v>
      </c>
      <c r="N43" s="164">
        <v>2.1414041383555062</v>
      </c>
      <c r="O43" s="164">
        <v>18148247.409219749</v>
      </c>
      <c r="P43" s="164">
        <v>55710688.667856582</v>
      </c>
      <c r="Q43" s="164">
        <v>6779205.7109926576</v>
      </c>
      <c r="R43" s="164">
        <v>8764904.1517069917</v>
      </c>
      <c r="S43" s="164">
        <v>9065212.0066528078</v>
      </c>
      <c r="T43" s="164">
        <v>24590057.375279777</v>
      </c>
      <c r="U43" s="164">
        <v>1008229.2292449409</v>
      </c>
      <c r="V43" s="164">
        <v>143667244.24639562</v>
      </c>
      <c r="W43" s="164">
        <v>3.5646235715881276</v>
      </c>
      <c r="X43" s="164">
        <v>3.7702294045327185</v>
      </c>
      <c r="Y43" s="164">
        <v>4462152.5807937216</v>
      </c>
      <c r="Z43" s="164">
        <v>22298839.385031264</v>
      </c>
      <c r="AA43" s="164">
        <v>28803680.894246962</v>
      </c>
      <c r="AB43" s="164">
        <v>49113813.161625095</v>
      </c>
      <c r="AC43" s="164">
        <v>25060653.912095629</v>
      </c>
      <c r="AD43" s="164">
        <v>130915542.7222691</v>
      </c>
      <c r="AE43" s="164">
        <v>5.6092681749894968</v>
      </c>
      <c r="AF43" s="219"/>
      <c r="AG43" s="219"/>
      <c r="AH43" s="219"/>
      <c r="AI43" s="219"/>
    </row>
    <row r="44" spans="1:36" x14ac:dyDescent="0.2">
      <c r="B44" s="9">
        <v>1</v>
      </c>
      <c r="C44" s="152" t="str">
        <f>'I1 General Inputs'!$C$15</f>
        <v>Option 1A</v>
      </c>
      <c r="D44" s="72"/>
      <c r="E44" s="77" t="s">
        <v>35</v>
      </c>
      <c r="F44" s="164">
        <v>0</v>
      </c>
      <c r="G44" s="164">
        <v>652994.64246965607</v>
      </c>
      <c r="H44" s="164">
        <v>8755789.3187353835</v>
      </c>
      <c r="I44" s="164">
        <v>91386353.843807817</v>
      </c>
      <c r="J44" s="164">
        <v>63547925.225192986</v>
      </c>
      <c r="K44" s="164">
        <v>144296453.70832923</v>
      </c>
      <c r="L44" s="164">
        <v>0.87279993046535553</v>
      </c>
      <c r="M44" s="164">
        <v>0.92424932714622732</v>
      </c>
      <c r="N44" s="164">
        <v>0.98159886778433592</v>
      </c>
      <c r="O44" s="164">
        <v>21629724.279921588</v>
      </c>
      <c r="P44" s="164">
        <v>56256437.072788112</v>
      </c>
      <c r="Q44" s="164">
        <v>5989829.6040303009</v>
      </c>
      <c r="R44" s="164">
        <v>8978501.6697808448</v>
      </c>
      <c r="S44" s="164">
        <v>8881382.6044387184</v>
      </c>
      <c r="T44" s="164">
        <v>27661808.559954118</v>
      </c>
      <c r="U44" s="164">
        <v>1.455981447823806</v>
      </c>
      <c r="V44" s="164">
        <v>141480503.10137624</v>
      </c>
      <c r="W44" s="164">
        <v>1.6339899598269789</v>
      </c>
      <c r="X44" s="164">
        <v>1.7282377064057457</v>
      </c>
      <c r="Y44" s="164">
        <v>4462193.3178181853</v>
      </c>
      <c r="Z44" s="164">
        <v>14464283.009417977</v>
      </c>
      <c r="AA44" s="164">
        <v>39903041.970648751</v>
      </c>
      <c r="AB44" s="164">
        <v>51747428.610317811</v>
      </c>
      <c r="AC44" s="164">
        <v>25956668.605264075</v>
      </c>
      <c r="AD44" s="164">
        <v>133976215.86397305</v>
      </c>
      <c r="AE44" s="164">
        <v>2.5712574215778847</v>
      </c>
      <c r="AF44" s="219"/>
      <c r="AG44" s="219"/>
      <c r="AH44" s="219"/>
      <c r="AI44" s="219"/>
    </row>
    <row r="45" spans="1:36" x14ac:dyDescent="0.2">
      <c r="B45" s="9">
        <v>2</v>
      </c>
      <c r="C45" s="152" t="str">
        <f>'I1 General Inputs'!$C$16</f>
        <v>Option 1B</v>
      </c>
      <c r="D45" s="72"/>
      <c r="E45" s="77" t="s">
        <v>35</v>
      </c>
      <c r="F45" s="164">
        <v>0</v>
      </c>
      <c r="G45" s="164">
        <v>652995.71639545006</v>
      </c>
      <c r="H45" s="164">
        <v>8755787.6069881432</v>
      </c>
      <c r="I45" s="164">
        <v>90815113.644969255</v>
      </c>
      <c r="J45" s="164">
        <v>65408133.719581649</v>
      </c>
      <c r="K45" s="164">
        <v>149984779.88221309</v>
      </c>
      <c r="L45" s="164">
        <v>3.69575708379198</v>
      </c>
      <c r="M45" s="164">
        <v>3.9136176166278589</v>
      </c>
      <c r="N45" s="164">
        <v>4.1564587713396568</v>
      </c>
      <c r="O45" s="164">
        <v>20818521.65837786</v>
      </c>
      <c r="P45" s="164">
        <v>55418018.516061775</v>
      </c>
      <c r="Q45" s="164">
        <v>6459271.3920698138</v>
      </c>
      <c r="R45" s="164">
        <v>8536425.5317057334</v>
      </c>
      <c r="S45" s="164">
        <v>8584864.1072083153</v>
      </c>
      <c r="T45" s="164">
        <v>29283007.40107866</v>
      </c>
      <c r="U45" s="164">
        <v>917893.94738919393</v>
      </c>
      <c r="V45" s="164">
        <v>142294950.22838289</v>
      </c>
      <c r="W45" s="164">
        <v>6.9189806925683408</v>
      </c>
      <c r="X45" s="164">
        <v>7.3180048580595312</v>
      </c>
      <c r="Y45" s="164">
        <v>4462185.3790465621</v>
      </c>
      <c r="Z45" s="164">
        <v>23160622.942649741</v>
      </c>
      <c r="AA45" s="164">
        <v>39525042.145446718</v>
      </c>
      <c r="AB45" s="164">
        <v>58053381.562007897</v>
      </c>
      <c r="AC45" s="164">
        <v>30852888.437344112</v>
      </c>
      <c r="AD45" s="164">
        <v>131498676.20828532</v>
      </c>
      <c r="AE45" s="164">
        <v>10.887642222667388</v>
      </c>
      <c r="AF45" s="219"/>
      <c r="AG45" s="219"/>
      <c r="AH45" s="219"/>
      <c r="AI45" s="219"/>
    </row>
    <row r="46" spans="1:36" x14ac:dyDescent="0.2">
      <c r="B46" s="9">
        <v>3</v>
      </c>
      <c r="C46" s="152" t="str">
        <f>'I1 General Inputs'!$C$17</f>
        <v>Option 1C</v>
      </c>
      <c r="D46" s="72"/>
      <c r="E46" s="77" t="s">
        <v>35</v>
      </c>
      <c r="F46" s="164">
        <v>0</v>
      </c>
      <c r="G46" s="164">
        <v>652994.66333647305</v>
      </c>
      <c r="H46" s="164">
        <v>8755789.4043597113</v>
      </c>
      <c r="I46" s="164">
        <v>86528570.935368955</v>
      </c>
      <c r="J46" s="164">
        <v>73333729.900155172</v>
      </c>
      <c r="K46" s="164">
        <v>136745900.01011053</v>
      </c>
      <c r="L46" s="164">
        <v>0.99396835268019013</v>
      </c>
      <c r="M46" s="164">
        <v>1.0525763426141066</v>
      </c>
      <c r="N46" s="164">
        <v>1.1178746110349134</v>
      </c>
      <c r="O46" s="164">
        <v>18634786.630597696</v>
      </c>
      <c r="P46" s="164">
        <v>49032351.668839321</v>
      </c>
      <c r="Q46" s="164">
        <v>3936538.7233041194</v>
      </c>
      <c r="R46" s="164">
        <v>8680607.9813930541</v>
      </c>
      <c r="S46" s="164">
        <v>8922236.8656473048</v>
      </c>
      <c r="T46" s="164">
        <v>22359475.433164876</v>
      </c>
      <c r="U46" s="164">
        <v>1.6585704404258921</v>
      </c>
      <c r="V46" s="164">
        <v>143364843.00814667</v>
      </c>
      <c r="W46" s="164">
        <v>1.86082623014202</v>
      </c>
      <c r="X46" s="164">
        <v>1.9681554175854186</v>
      </c>
      <c r="Y46" s="164">
        <v>4462149.4849679591</v>
      </c>
      <c r="Z46" s="164">
        <v>17094556.424433082</v>
      </c>
      <c r="AA46" s="164">
        <v>28400883.075866431</v>
      </c>
      <c r="AB46" s="164">
        <v>48633371.492923312</v>
      </c>
      <c r="AC46" s="164">
        <v>24522097.794304207</v>
      </c>
      <c r="AD46" s="164">
        <v>132471360.36224382</v>
      </c>
      <c r="AE46" s="164">
        <v>2.9281745580758516</v>
      </c>
      <c r="AF46" s="219"/>
      <c r="AG46" s="219"/>
      <c r="AH46" s="219"/>
      <c r="AI46" s="219"/>
    </row>
    <row r="47" spans="1:36" x14ac:dyDescent="0.2">
      <c r="B47" s="9">
        <v>4</v>
      </c>
      <c r="C47" s="152" t="str">
        <f>'I1 General Inputs'!$C$18</f>
        <v>Option 1D</v>
      </c>
      <c r="D47" s="72"/>
      <c r="E47" s="77" t="s">
        <v>35</v>
      </c>
      <c r="F47" s="164">
        <v>0</v>
      </c>
      <c r="G47" s="164">
        <v>652994.61360888102</v>
      </c>
      <c r="H47" s="164">
        <v>8755789.2881768104</v>
      </c>
      <c r="I47" s="164">
        <v>88024083.124130234</v>
      </c>
      <c r="J47" s="164">
        <v>77710983.658553392</v>
      </c>
      <c r="K47" s="164">
        <v>140877116.45906863</v>
      </c>
      <c r="L47" s="164">
        <v>0.82954812717286641</v>
      </c>
      <c r="M47" s="164">
        <v>0.87846184881496792</v>
      </c>
      <c r="N47" s="164">
        <v>0.93295801154320424</v>
      </c>
      <c r="O47" s="164">
        <v>18634846.567629442</v>
      </c>
      <c r="P47" s="164">
        <v>49017274.790030964</v>
      </c>
      <c r="Q47" s="164">
        <v>4987522.0595953614</v>
      </c>
      <c r="R47" s="164">
        <v>8637799.9013072923</v>
      </c>
      <c r="S47" s="164">
        <v>8822449.5443589129</v>
      </c>
      <c r="T47" s="164">
        <v>24455878.947619617</v>
      </c>
      <c r="U47" s="164">
        <v>1.3843599141100407</v>
      </c>
      <c r="V47" s="164">
        <v>143318643.96049544</v>
      </c>
      <c r="W47" s="164">
        <v>1.5530139881865868</v>
      </c>
      <c r="X47" s="164">
        <v>1.6425877401175515</v>
      </c>
      <c r="Y47" s="164">
        <v>4462178.9254675135</v>
      </c>
      <c r="Z47" s="164">
        <v>22096522.545113597</v>
      </c>
      <c r="AA47" s="164">
        <v>27271174.044917811</v>
      </c>
      <c r="AB47" s="164">
        <v>48037718.34244322</v>
      </c>
      <c r="AC47" s="164">
        <v>24592825.386310831</v>
      </c>
      <c r="AD47" s="164">
        <v>130734320.64246427</v>
      </c>
      <c r="AE47" s="164">
        <v>2.4438092454913818</v>
      </c>
      <c r="AF47" s="219"/>
      <c r="AG47" s="219"/>
      <c r="AH47" s="219"/>
      <c r="AI47" s="219"/>
    </row>
    <row r="48" spans="1:36" x14ac:dyDescent="0.2">
      <c r="B48" s="9">
        <v>5</v>
      </c>
      <c r="C48" s="152" t="str">
        <f>'I1 General Inputs'!$C$19</f>
        <v>Option 5A</v>
      </c>
      <c r="D48" s="72"/>
      <c r="E48" s="77" t="s">
        <v>35</v>
      </c>
      <c r="F48" s="164">
        <v>0</v>
      </c>
      <c r="G48" s="164">
        <f>G43-(G43-G49)*$L$15</f>
        <v>652995.02068396006</v>
      </c>
      <c r="H48" s="164">
        <f t="shared" ref="H48:AE48" si="25">H43-(H43-H49)*$L$15</f>
        <v>8755788.4589367304</v>
      </c>
      <c r="I48" s="164">
        <f t="shared" si="25"/>
        <v>90862357.101374835</v>
      </c>
      <c r="J48" s="164">
        <f t="shared" si="25"/>
        <v>73661839.775695115</v>
      </c>
      <c r="K48" s="164">
        <f t="shared" si="25"/>
        <v>149503826.38891304</v>
      </c>
      <c r="L48" s="164">
        <f t="shared" si="25"/>
        <v>1.9040452569460502</v>
      </c>
      <c r="M48" s="164">
        <f t="shared" si="25"/>
        <v>2.0163190578120354</v>
      </c>
      <c r="N48" s="164">
        <f t="shared" si="25"/>
        <v>2.1414041383555062</v>
      </c>
      <c r="O48" s="164">
        <f t="shared" si="25"/>
        <v>18148247.409219749</v>
      </c>
      <c r="P48" s="164">
        <f t="shared" si="25"/>
        <v>55710688.667856582</v>
      </c>
      <c r="Q48" s="164">
        <f t="shared" si="25"/>
        <v>6779205.7109926576</v>
      </c>
      <c r="R48" s="164">
        <f t="shared" si="25"/>
        <v>8764904.1517069917</v>
      </c>
      <c r="S48" s="164">
        <f t="shared" si="25"/>
        <v>9065212.0066528078</v>
      </c>
      <c r="T48" s="164">
        <f t="shared" si="25"/>
        <v>24590057.375279777</v>
      </c>
      <c r="U48" s="164">
        <f t="shared" si="25"/>
        <v>1008229.2292449409</v>
      </c>
      <c r="V48" s="164">
        <f t="shared" si="25"/>
        <v>143667244.24639562</v>
      </c>
      <c r="W48" s="164">
        <f t="shared" si="25"/>
        <v>3.5646235715881276</v>
      </c>
      <c r="X48" s="164">
        <f t="shared" si="25"/>
        <v>3.7702294045327185</v>
      </c>
      <c r="Y48" s="164">
        <f t="shared" si="25"/>
        <v>4462152.5807937216</v>
      </c>
      <c r="Z48" s="164">
        <f t="shared" si="25"/>
        <v>22298839.385031264</v>
      </c>
      <c r="AA48" s="164">
        <f t="shared" si="25"/>
        <v>28803680.894246962</v>
      </c>
      <c r="AB48" s="164">
        <f t="shared" si="25"/>
        <v>49113813.161625095</v>
      </c>
      <c r="AC48" s="164">
        <f t="shared" si="25"/>
        <v>25060653.912095629</v>
      </c>
      <c r="AD48" s="164">
        <f t="shared" si="25"/>
        <v>130915542.7222691</v>
      </c>
      <c r="AE48" s="164">
        <f t="shared" si="25"/>
        <v>5.6092681749894968</v>
      </c>
      <c r="AF48" s="219"/>
      <c r="AG48" s="219"/>
      <c r="AH48" s="219"/>
      <c r="AI48" s="219"/>
    </row>
    <row r="49" spans="2:35" x14ac:dyDescent="0.2">
      <c r="B49" s="9">
        <v>6</v>
      </c>
      <c r="C49" s="152" t="str">
        <f>'I1 General Inputs'!$C$20</f>
        <v>Option 5B</v>
      </c>
      <c r="D49" s="72"/>
      <c r="E49" s="77" t="s">
        <v>35</v>
      </c>
      <c r="F49" s="164">
        <v>0</v>
      </c>
      <c r="G49" s="164">
        <v>652994.83771453006</v>
      </c>
      <c r="H49" s="164">
        <v>8755789.1653638761</v>
      </c>
      <c r="I49" s="164">
        <v>90847627.243021235</v>
      </c>
      <c r="J49" s="164">
        <v>69273077.243040428</v>
      </c>
      <c r="K49" s="164">
        <v>148154916.63192597</v>
      </c>
      <c r="L49" s="164">
        <v>1.4050604991498632</v>
      </c>
      <c r="M49" s="164">
        <v>1.4878754663401985</v>
      </c>
      <c r="N49" s="164">
        <v>1.5801880466636369</v>
      </c>
      <c r="O49" s="164">
        <v>19147726.886501759</v>
      </c>
      <c r="P49" s="164">
        <v>50161924.923956715</v>
      </c>
      <c r="Q49" s="164">
        <v>4628820.3190086465</v>
      </c>
      <c r="R49" s="164">
        <v>8403896.9085697737</v>
      </c>
      <c r="S49" s="164">
        <v>8345594.6494153636</v>
      </c>
      <c r="T49" s="164">
        <v>27578533.402456827</v>
      </c>
      <c r="U49" s="164">
        <v>2.3438687517563075</v>
      </c>
      <c r="V49" s="164">
        <v>141907218.93904769</v>
      </c>
      <c r="W49" s="164">
        <v>2.630395761700751</v>
      </c>
      <c r="X49" s="164">
        <v>2.7821211012972964</v>
      </c>
      <c r="Y49" s="164">
        <v>4462185.6083644889</v>
      </c>
      <c r="Z49" s="164">
        <v>18427269.252809439</v>
      </c>
      <c r="AA49" s="164">
        <v>39898876.23826506</v>
      </c>
      <c r="AB49" s="164">
        <v>50461598.053765535</v>
      </c>
      <c r="AC49" s="164">
        <v>26417669.634081408</v>
      </c>
      <c r="AD49" s="164">
        <v>132219246.24864148</v>
      </c>
      <c r="AE49" s="164">
        <v>4.1394645777012409</v>
      </c>
      <c r="AF49" s="219"/>
      <c r="AG49" s="219"/>
      <c r="AH49" s="219"/>
      <c r="AI49" s="219"/>
    </row>
    <row r="50" spans="2:35" x14ac:dyDescent="0.2">
      <c r="D50" s="79"/>
      <c r="E50" s="75"/>
    </row>
    <row r="51" spans="2:35" ht="15.75" x14ac:dyDescent="0.25">
      <c r="B51" s="69" t="s">
        <v>14</v>
      </c>
      <c r="C51" s="69" t="s">
        <v>13</v>
      </c>
      <c r="D51" s="94" t="s">
        <v>116</v>
      </c>
      <c r="E51" s="73" t="s">
        <v>7</v>
      </c>
      <c r="F51" s="69">
        <f>FirstYear</f>
        <v>2020</v>
      </c>
      <c r="G51" s="69">
        <f>+F51+1</f>
        <v>2021</v>
      </c>
      <c r="H51" s="69">
        <f t="shared" ref="H51" si="26">+G51+1</f>
        <v>2022</v>
      </c>
      <c r="I51" s="69">
        <f t="shared" ref="I51" si="27">+H51+1</f>
        <v>2023</v>
      </c>
      <c r="J51" s="69">
        <f t="shared" ref="J51" si="28">+I51+1</f>
        <v>2024</v>
      </c>
      <c r="K51" s="69">
        <f t="shared" ref="K51" si="29">+J51+1</f>
        <v>2025</v>
      </c>
      <c r="L51" s="69">
        <f t="shared" ref="L51" si="30">+K51+1</f>
        <v>2026</v>
      </c>
      <c r="M51" s="69">
        <f t="shared" ref="M51" si="31">+L51+1</f>
        <v>2027</v>
      </c>
      <c r="N51" s="69">
        <f t="shared" ref="N51" si="32">+M51+1</f>
        <v>2028</v>
      </c>
      <c r="O51" s="69">
        <f t="shared" ref="O51" si="33">+N51+1</f>
        <v>2029</v>
      </c>
      <c r="P51" s="69">
        <f t="shared" ref="P51" si="34">+O51+1</f>
        <v>2030</v>
      </c>
      <c r="Q51" s="69">
        <f t="shared" ref="Q51" si="35">+P51+1</f>
        <v>2031</v>
      </c>
      <c r="R51" s="69">
        <f t="shared" ref="R51" si="36">+Q51+1</f>
        <v>2032</v>
      </c>
      <c r="S51" s="69">
        <f t="shared" ref="S51" si="37">+R51+1</f>
        <v>2033</v>
      </c>
      <c r="T51" s="69">
        <f t="shared" ref="T51" si="38">+S51+1</f>
        <v>2034</v>
      </c>
      <c r="U51" s="69">
        <f t="shared" ref="U51" si="39">+T51+1</f>
        <v>2035</v>
      </c>
      <c r="V51" s="69">
        <f t="shared" ref="V51" si="40">+U51+1</f>
        <v>2036</v>
      </c>
      <c r="W51" s="69">
        <f t="shared" ref="W51" si="41">+V51+1</f>
        <v>2037</v>
      </c>
      <c r="X51" s="69">
        <f t="shared" ref="X51" si="42">+W51+1</f>
        <v>2038</v>
      </c>
      <c r="Y51" s="69">
        <f t="shared" ref="Y51" si="43">+X51+1</f>
        <v>2039</v>
      </c>
      <c r="Z51" s="69">
        <f t="shared" ref="Z51" si="44">+Y51+1</f>
        <v>2040</v>
      </c>
      <c r="AA51" s="69">
        <f t="shared" ref="AA51" si="45">+Z51+1</f>
        <v>2041</v>
      </c>
      <c r="AB51" s="69">
        <f t="shared" ref="AB51" si="46">+AA51+1</f>
        <v>2042</v>
      </c>
      <c r="AC51" s="69">
        <f t="shared" ref="AC51" si="47">+AB51+1</f>
        <v>2043</v>
      </c>
      <c r="AD51" s="69">
        <f t="shared" ref="AD51" si="48">+AC51+1</f>
        <v>2044</v>
      </c>
      <c r="AE51" s="69">
        <f t="shared" ref="AE51" si="49">+AD51+1</f>
        <v>2045</v>
      </c>
      <c r="AF51" s="218"/>
      <c r="AG51" s="218"/>
      <c r="AH51" s="218"/>
      <c r="AI51" s="218"/>
    </row>
    <row r="52" spans="2:35" x14ac:dyDescent="0.2">
      <c r="B52" s="9">
        <v>0</v>
      </c>
      <c r="C52" s="153" t="str">
        <f>'I1 General Inputs'!$C$14</f>
        <v>Base case</v>
      </c>
      <c r="D52" s="72"/>
      <c r="E52" s="77" t="s">
        <v>35</v>
      </c>
      <c r="F52" s="164">
        <v>0</v>
      </c>
      <c r="G52" s="164">
        <v>1.017463435</v>
      </c>
      <c r="H52" s="164">
        <v>8503666.1165649351</v>
      </c>
      <c r="I52" s="164">
        <v>27219175.887227561</v>
      </c>
      <c r="J52" s="164">
        <v>83312035.917426273</v>
      </c>
      <c r="K52" s="164">
        <v>113172941.53224133</v>
      </c>
      <c r="L52" s="164">
        <v>1.3557870025810368</v>
      </c>
      <c r="M52" s="164">
        <v>1.4353694164285702</v>
      </c>
      <c r="N52" s="164">
        <v>1.5250736167721586</v>
      </c>
      <c r="O52" s="164">
        <v>513962.65915201738</v>
      </c>
      <c r="P52" s="164">
        <v>14261655.449004829</v>
      </c>
      <c r="Q52" s="164">
        <v>18070794.757865116</v>
      </c>
      <c r="R52" s="164">
        <v>1.9167457850018748</v>
      </c>
      <c r="S52" s="164">
        <v>58519602.895301566</v>
      </c>
      <c r="T52" s="164">
        <v>26424814.936357055</v>
      </c>
      <c r="U52" s="164">
        <v>1726263.3774219688</v>
      </c>
      <c r="V52" s="164">
        <v>136525929.49522281</v>
      </c>
      <c r="W52" s="164">
        <v>2.5368791665986907</v>
      </c>
      <c r="X52" s="164">
        <v>2.6837119900929371</v>
      </c>
      <c r="Y52" s="164">
        <v>2.8389815287620279</v>
      </c>
      <c r="Z52" s="164">
        <v>53468809.713718988</v>
      </c>
      <c r="AA52" s="164">
        <v>3.1867294331026854</v>
      </c>
      <c r="AB52" s="164">
        <v>66536894.263290025</v>
      </c>
      <c r="AC52" s="164">
        <v>11288201.130194992</v>
      </c>
      <c r="AD52" s="164">
        <v>6744787.9632069189</v>
      </c>
      <c r="AE52" s="164">
        <v>3.9990481270312221</v>
      </c>
      <c r="AF52" s="219"/>
      <c r="AG52" s="219"/>
      <c r="AH52" s="219"/>
      <c r="AI52" s="219"/>
    </row>
    <row r="53" spans="2:35" x14ac:dyDescent="0.2">
      <c r="B53" s="9">
        <v>1</v>
      </c>
      <c r="C53" s="152" t="str">
        <f>'I1 General Inputs'!$C$15</f>
        <v>Option 1A</v>
      </c>
      <c r="D53" s="72"/>
      <c r="E53" s="77" t="s">
        <v>35</v>
      </c>
      <c r="F53" s="164">
        <v>0</v>
      </c>
      <c r="G53" s="164">
        <v>0.98009628399999993</v>
      </c>
      <c r="H53" s="164">
        <v>8503666.081401106</v>
      </c>
      <c r="I53" s="164">
        <v>30545522.144943569</v>
      </c>
      <c r="J53" s="164">
        <v>82617370.844688907</v>
      </c>
      <c r="K53" s="164">
        <v>106583295.55748764</v>
      </c>
      <c r="L53" s="164">
        <v>1.3059956535365458</v>
      </c>
      <c r="M53" s="164">
        <v>1.3826458590271529</v>
      </c>
      <c r="N53" s="164">
        <v>1.4690602833647013</v>
      </c>
      <c r="O53" s="164">
        <v>1.552542975137652</v>
      </c>
      <c r="P53" s="164">
        <v>16538464.170390667</v>
      </c>
      <c r="Q53" s="164">
        <v>18127371.88674403</v>
      </c>
      <c r="R53" s="164">
        <v>1.8463720025442214</v>
      </c>
      <c r="S53" s="164">
        <v>60621490.547918357</v>
      </c>
      <c r="T53" s="164">
        <v>28596831.658272613</v>
      </c>
      <c r="U53" s="164">
        <v>2138087.1766235256</v>
      </c>
      <c r="V53" s="164">
        <v>137152854.92063484</v>
      </c>
      <c r="W53" s="164">
        <v>2.4438164620005955</v>
      </c>
      <c r="X53" s="164">
        <v>2.5852520085431374</v>
      </c>
      <c r="Y53" s="164">
        <v>42951.757667671336</v>
      </c>
      <c r="Z53" s="164">
        <v>30494106.022619396</v>
      </c>
      <c r="AA53" s="164">
        <v>3.0699457609376197</v>
      </c>
      <c r="AB53" s="164">
        <v>64998912.671530001</v>
      </c>
      <c r="AC53" s="164">
        <v>11342926.357269952</v>
      </c>
      <c r="AD53" s="164">
        <v>5571705.0537306294</v>
      </c>
      <c r="AE53" s="164">
        <v>3.8523506249190351</v>
      </c>
      <c r="AF53" s="219"/>
      <c r="AG53" s="219"/>
      <c r="AH53" s="219"/>
      <c r="AI53" s="219"/>
    </row>
    <row r="54" spans="2:35" x14ac:dyDescent="0.2">
      <c r="B54" s="9">
        <v>2</v>
      </c>
      <c r="C54" s="152" t="str">
        <f>'I1 General Inputs'!$C$16</f>
        <v>Option 1B</v>
      </c>
      <c r="D54" s="72"/>
      <c r="E54" s="77" t="s">
        <v>35</v>
      </c>
      <c r="F54" s="164">
        <v>0</v>
      </c>
      <c r="G54" s="164">
        <v>2.13159783</v>
      </c>
      <c r="H54" s="164">
        <v>8503665.0471433364</v>
      </c>
      <c r="I54" s="164">
        <v>33225676.573781885</v>
      </c>
      <c r="J54" s="164">
        <v>82188510.894905284</v>
      </c>
      <c r="K54" s="164">
        <v>112535417.11870334</v>
      </c>
      <c r="L54" s="164">
        <v>2.8406278634552238</v>
      </c>
      <c r="M54" s="164">
        <v>3.0074343737086937</v>
      </c>
      <c r="N54" s="164">
        <v>3.195349267881324</v>
      </c>
      <c r="O54" s="164">
        <v>935514.31521636574</v>
      </c>
      <c r="P54" s="164">
        <v>16387985.392637309</v>
      </c>
      <c r="Q54" s="164">
        <v>18860661.387617048</v>
      </c>
      <c r="R54" s="164">
        <v>4.0159786413914986</v>
      </c>
      <c r="S54" s="164">
        <v>64629020.316868514</v>
      </c>
      <c r="T54" s="164">
        <v>32968210.968826246</v>
      </c>
      <c r="U54" s="164">
        <v>2979984.4249617043</v>
      </c>
      <c r="V54" s="164">
        <v>136120964.66638115</v>
      </c>
      <c r="W54" s="164">
        <v>5.3147911086936634</v>
      </c>
      <c r="X54" s="164">
        <v>5.622334017152216</v>
      </c>
      <c r="Y54" s="164">
        <v>32855.541058295239</v>
      </c>
      <c r="Z54" s="164">
        <v>53297827.359757878</v>
      </c>
      <c r="AA54" s="164">
        <v>6.6753704940471046</v>
      </c>
      <c r="AB54" s="164">
        <v>64559140.455312431</v>
      </c>
      <c r="AC54" s="164">
        <v>11291219.479029704</v>
      </c>
      <c r="AD54" s="164">
        <v>8167272.1135849422</v>
      </c>
      <c r="AE54" s="164">
        <v>8.3706757558633527</v>
      </c>
      <c r="AF54" s="219"/>
      <c r="AG54" s="219"/>
      <c r="AH54" s="219"/>
      <c r="AI54" s="219"/>
    </row>
    <row r="55" spans="2:35" x14ac:dyDescent="0.2">
      <c r="B55" s="9">
        <v>3</v>
      </c>
      <c r="C55" s="152" t="str">
        <f>'I1 General Inputs'!$C$17</f>
        <v>Option 1C</v>
      </c>
      <c r="D55" s="72"/>
      <c r="E55" s="77" t="s">
        <v>35</v>
      </c>
      <c r="F55" s="164">
        <v>0</v>
      </c>
      <c r="G55" s="164">
        <v>0.78394536499999989</v>
      </c>
      <c r="H55" s="164">
        <v>8503665.8968043663</v>
      </c>
      <c r="I55" s="164">
        <v>22605109.469917394</v>
      </c>
      <c r="J55" s="164">
        <v>83177456.137368664</v>
      </c>
      <c r="K55" s="164">
        <v>103104918.27746995</v>
      </c>
      <c r="L55" s="164">
        <v>1.0446962848106833</v>
      </c>
      <c r="M55" s="164">
        <v>1.1060453185860322</v>
      </c>
      <c r="N55" s="164">
        <v>1.1751519809727322</v>
      </c>
      <c r="O55" s="164">
        <v>3139813.0905292756</v>
      </c>
      <c r="P55" s="164">
        <v>14793390.033414481</v>
      </c>
      <c r="Q55" s="164">
        <v>19435421.89541547</v>
      </c>
      <c r="R55" s="164">
        <v>1.4769437480657919</v>
      </c>
      <c r="S55" s="164">
        <v>56937723.431504235</v>
      </c>
      <c r="T55" s="164">
        <v>25181743.849702984</v>
      </c>
      <c r="U55" s="164">
        <v>1490352.7799316519</v>
      </c>
      <c r="V55" s="164">
        <v>138638068.06907102</v>
      </c>
      <c r="W55" s="164">
        <v>1.9545992660846772</v>
      </c>
      <c r="X55" s="164">
        <v>2.0677037044182445</v>
      </c>
      <c r="Y55" s="164">
        <v>2.1872958686262374</v>
      </c>
      <c r="Z55" s="164">
        <v>34759091.587210998</v>
      </c>
      <c r="AA55" s="164">
        <v>2.4550058105999066</v>
      </c>
      <c r="AB55" s="164">
        <v>67003491.924525619</v>
      </c>
      <c r="AC55" s="164">
        <v>11314353.874917725</v>
      </c>
      <c r="AD55" s="164">
        <v>6883773.6605680175</v>
      </c>
      <c r="AE55" s="164">
        <v>3.0787224819229029</v>
      </c>
      <c r="AF55" s="219"/>
      <c r="AG55" s="219"/>
      <c r="AH55" s="219"/>
      <c r="AI55" s="219"/>
    </row>
    <row r="56" spans="2:35" x14ac:dyDescent="0.2">
      <c r="B56" s="9">
        <v>4</v>
      </c>
      <c r="C56" s="152" t="str">
        <f>'I1 General Inputs'!$C$18</f>
        <v>Option 1D</v>
      </c>
      <c r="D56" s="72"/>
      <c r="E56" s="77" t="s">
        <v>35</v>
      </c>
      <c r="F56" s="164">
        <v>0</v>
      </c>
      <c r="G56" s="164">
        <v>2.2128626900000001</v>
      </c>
      <c r="H56" s="164">
        <v>8503665.1233472284</v>
      </c>
      <c r="I56" s="164">
        <v>24063185.845215317</v>
      </c>
      <c r="J56" s="164">
        <v>84067845.763776124</v>
      </c>
      <c r="K56" s="164">
        <v>106160994.75720987</v>
      </c>
      <c r="L56" s="164">
        <v>2.9478322631351124</v>
      </c>
      <c r="M56" s="164">
        <v>3.1206523080243658</v>
      </c>
      <c r="N56" s="164">
        <v>3.3158725143960983</v>
      </c>
      <c r="O56" s="164">
        <v>2769514.3211479704</v>
      </c>
      <c r="P56" s="164">
        <v>14261657.227258569</v>
      </c>
      <c r="Q56" s="164">
        <v>19282815.467034653</v>
      </c>
      <c r="R56" s="164">
        <v>4.1674577001943671</v>
      </c>
      <c r="S56" s="164">
        <v>57646768.272806741</v>
      </c>
      <c r="T56" s="164">
        <v>27053546.563200038</v>
      </c>
      <c r="U56" s="164">
        <v>2013707.1363756515</v>
      </c>
      <c r="V56" s="164">
        <v>137780605.28408989</v>
      </c>
      <c r="W56" s="164">
        <v>5.517199509106069</v>
      </c>
      <c r="X56" s="164">
        <v>5.8369100206326348</v>
      </c>
      <c r="Y56" s="164">
        <v>6.1746650880785507</v>
      </c>
      <c r="Z56" s="164">
        <v>53586860.80424384</v>
      </c>
      <c r="AA56" s="164">
        <v>6.933664498136145</v>
      </c>
      <c r="AB56" s="164">
        <v>66770490.249073893</v>
      </c>
      <c r="AC56" s="164">
        <v>11307936.421306567</v>
      </c>
      <c r="AD56" s="164">
        <v>6831914.5133785987</v>
      </c>
      <c r="AE56" s="164">
        <v>8.7156208336880709</v>
      </c>
      <c r="AF56" s="219"/>
      <c r="AG56" s="219"/>
      <c r="AH56" s="219"/>
      <c r="AI56" s="219"/>
    </row>
    <row r="57" spans="2:35" x14ac:dyDescent="0.2">
      <c r="B57" s="9">
        <v>5</v>
      </c>
      <c r="C57" s="152" t="str">
        <f>'I1 General Inputs'!$C$19</f>
        <v>Option 5A</v>
      </c>
      <c r="D57" s="72"/>
      <c r="E57" s="77" t="s">
        <v>35</v>
      </c>
      <c r="F57" s="164">
        <v>0</v>
      </c>
      <c r="G57" s="164">
        <f>G52-(G52-G58)*$L$15</f>
        <v>1.017463435</v>
      </c>
      <c r="H57" s="164">
        <f t="shared" ref="H57:AE57" si="50">H52-(H52-H58)*$L$15</f>
        <v>8503666.1165649351</v>
      </c>
      <c r="I57" s="164">
        <f t="shared" si="50"/>
        <v>27219175.887227561</v>
      </c>
      <c r="J57" s="164">
        <f t="shared" si="50"/>
        <v>83312035.917426273</v>
      </c>
      <c r="K57" s="164">
        <f t="shared" si="50"/>
        <v>113172941.53224133</v>
      </c>
      <c r="L57" s="164">
        <f t="shared" si="50"/>
        <v>1.3557870025810368</v>
      </c>
      <c r="M57" s="164">
        <f t="shared" si="50"/>
        <v>1.4353694164285702</v>
      </c>
      <c r="N57" s="164">
        <f t="shared" si="50"/>
        <v>1.5250736167721586</v>
      </c>
      <c r="O57" s="164">
        <f t="shared" si="50"/>
        <v>513962.65915201738</v>
      </c>
      <c r="P57" s="164">
        <f t="shared" si="50"/>
        <v>14261655.449004829</v>
      </c>
      <c r="Q57" s="164">
        <f t="shared" si="50"/>
        <v>18070794.757865116</v>
      </c>
      <c r="R57" s="164">
        <f t="shared" si="50"/>
        <v>1.9167457850018748</v>
      </c>
      <c r="S57" s="164">
        <f t="shared" si="50"/>
        <v>58519602.895301566</v>
      </c>
      <c r="T57" s="164">
        <f t="shared" si="50"/>
        <v>26424814.936357055</v>
      </c>
      <c r="U57" s="164">
        <f t="shared" si="50"/>
        <v>1726263.3774219688</v>
      </c>
      <c r="V57" s="164">
        <f t="shared" si="50"/>
        <v>136525929.49522281</v>
      </c>
      <c r="W57" s="164">
        <f t="shared" si="50"/>
        <v>2.5368791665986907</v>
      </c>
      <c r="X57" s="164">
        <f t="shared" si="50"/>
        <v>2.6837119900929371</v>
      </c>
      <c r="Y57" s="164">
        <f t="shared" si="50"/>
        <v>2.8389815287620279</v>
      </c>
      <c r="Z57" s="164">
        <f t="shared" si="50"/>
        <v>53468809.713718988</v>
      </c>
      <c r="AA57" s="164">
        <f t="shared" si="50"/>
        <v>3.1867294331026854</v>
      </c>
      <c r="AB57" s="164">
        <f t="shared" si="50"/>
        <v>66536894.263290025</v>
      </c>
      <c r="AC57" s="164">
        <f t="shared" si="50"/>
        <v>11288201.130194992</v>
      </c>
      <c r="AD57" s="164">
        <f t="shared" si="50"/>
        <v>6744787.9632069189</v>
      </c>
      <c r="AE57" s="164">
        <f t="shared" si="50"/>
        <v>3.9990481270312221</v>
      </c>
      <c r="AF57" s="219"/>
      <c r="AG57" s="219"/>
      <c r="AH57" s="219"/>
      <c r="AI57" s="219"/>
    </row>
    <row r="58" spans="2:35" x14ac:dyDescent="0.2">
      <c r="B58" s="9">
        <v>6</v>
      </c>
      <c r="C58" s="152" t="str">
        <f>'I1 General Inputs'!$C$20</f>
        <v>Option 5B</v>
      </c>
      <c r="D58" s="72"/>
      <c r="E58" s="77" t="s">
        <v>35</v>
      </c>
      <c r="F58" s="164">
        <v>0</v>
      </c>
      <c r="G58" s="164">
        <v>2.3178922699999998</v>
      </c>
      <c r="H58" s="164">
        <v>8503665.2223641425</v>
      </c>
      <c r="I58" s="164">
        <v>30966087.434433743</v>
      </c>
      <c r="J58" s="164">
        <v>82310487.305975109</v>
      </c>
      <c r="K58" s="164">
        <v>112144440.05997078</v>
      </c>
      <c r="L58" s="164">
        <v>3.0885226181846663</v>
      </c>
      <c r="M58" s="164">
        <v>3.2697697473886942</v>
      </c>
      <c r="N58" s="164">
        <v>3.4741568635423934</v>
      </c>
      <c r="O58" s="164">
        <v>1362136.8625546778</v>
      </c>
      <c r="P58" s="164">
        <v>14276653.671323266</v>
      </c>
      <c r="Q58" s="164">
        <v>16672505.414639827</v>
      </c>
      <c r="R58" s="164">
        <v>4.3664736944791391</v>
      </c>
      <c r="S58" s="164">
        <v>59841945.462038167</v>
      </c>
      <c r="T58" s="164">
        <v>30579036.668419495</v>
      </c>
      <c r="U58" s="164">
        <v>3135156.2528757434</v>
      </c>
      <c r="V58" s="164">
        <v>137000074.70092997</v>
      </c>
      <c r="W58" s="164">
        <v>5.7795711212324292</v>
      </c>
      <c r="X58" s="164">
        <v>6.1140819881455011</v>
      </c>
      <c r="Y58" s="164">
        <v>50487.273376405195</v>
      </c>
      <c r="Z58" s="164">
        <v>34482409.877536759</v>
      </c>
      <c r="AA58" s="164">
        <v>7.2606807348056588</v>
      </c>
      <c r="AB58" s="164">
        <v>64616839.222033828</v>
      </c>
      <c r="AC58" s="164">
        <v>11355518.771259049</v>
      </c>
      <c r="AD58" s="164">
        <v>6829609.7951178169</v>
      </c>
      <c r="AE58" s="164">
        <v>9.1101166105249423</v>
      </c>
      <c r="AF58" s="219"/>
      <c r="AG58" s="219"/>
      <c r="AH58" s="219"/>
      <c r="AI58" s="219"/>
    </row>
    <row r="59" spans="2:35" x14ac:dyDescent="0.2">
      <c r="E59" s="75"/>
    </row>
    <row r="60" spans="2:35" ht="15.75" x14ac:dyDescent="0.25">
      <c r="B60" s="69" t="s">
        <v>14</v>
      </c>
      <c r="C60" s="69" t="s">
        <v>13</v>
      </c>
      <c r="D60" s="69" t="s">
        <v>99</v>
      </c>
      <c r="E60" s="73" t="s">
        <v>7</v>
      </c>
      <c r="F60" s="69">
        <f>FirstYear</f>
        <v>2020</v>
      </c>
      <c r="G60" s="69">
        <f>+F60+1</f>
        <v>2021</v>
      </c>
      <c r="H60" s="69">
        <f t="shared" ref="H60" si="51">+G60+1</f>
        <v>2022</v>
      </c>
      <c r="I60" s="69">
        <f t="shared" ref="I60" si="52">+H60+1</f>
        <v>2023</v>
      </c>
      <c r="J60" s="69">
        <f t="shared" ref="J60" si="53">+I60+1</f>
        <v>2024</v>
      </c>
      <c r="K60" s="69">
        <f t="shared" ref="K60" si="54">+J60+1</f>
        <v>2025</v>
      </c>
      <c r="L60" s="69">
        <f t="shared" ref="L60" si="55">+K60+1</f>
        <v>2026</v>
      </c>
      <c r="M60" s="69">
        <f t="shared" ref="M60" si="56">+L60+1</f>
        <v>2027</v>
      </c>
      <c r="N60" s="69">
        <f t="shared" ref="N60" si="57">+M60+1</f>
        <v>2028</v>
      </c>
      <c r="O60" s="69">
        <f t="shared" ref="O60" si="58">+N60+1</f>
        <v>2029</v>
      </c>
      <c r="P60" s="69">
        <f t="shared" ref="P60" si="59">+O60+1</f>
        <v>2030</v>
      </c>
      <c r="Q60" s="69">
        <f t="shared" ref="Q60" si="60">+P60+1</f>
        <v>2031</v>
      </c>
      <c r="R60" s="69">
        <f t="shared" ref="R60" si="61">+Q60+1</f>
        <v>2032</v>
      </c>
      <c r="S60" s="69">
        <f t="shared" ref="S60" si="62">+R60+1</f>
        <v>2033</v>
      </c>
      <c r="T60" s="69">
        <f t="shared" ref="T60" si="63">+S60+1</f>
        <v>2034</v>
      </c>
      <c r="U60" s="69">
        <f t="shared" ref="U60" si="64">+T60+1</f>
        <v>2035</v>
      </c>
      <c r="V60" s="69">
        <f t="shared" ref="V60" si="65">+U60+1</f>
        <v>2036</v>
      </c>
      <c r="W60" s="69">
        <f t="shared" ref="W60" si="66">+V60+1</f>
        <v>2037</v>
      </c>
      <c r="X60" s="69">
        <f t="shared" ref="X60" si="67">+W60+1</f>
        <v>2038</v>
      </c>
      <c r="Y60" s="69">
        <f t="shared" ref="Y60" si="68">+X60+1</f>
        <v>2039</v>
      </c>
      <c r="Z60" s="69">
        <f t="shared" ref="Z60" si="69">+Y60+1</f>
        <v>2040</v>
      </c>
      <c r="AA60" s="69">
        <f t="shared" ref="AA60" si="70">+Z60+1</f>
        <v>2041</v>
      </c>
      <c r="AB60" s="69">
        <f t="shared" ref="AB60" si="71">+AA60+1</f>
        <v>2042</v>
      </c>
      <c r="AC60" s="69">
        <f t="shared" ref="AC60" si="72">+AB60+1</f>
        <v>2043</v>
      </c>
      <c r="AD60" s="69">
        <f t="shared" ref="AD60" si="73">+AC60+1</f>
        <v>2044</v>
      </c>
      <c r="AE60" s="69">
        <f t="shared" ref="AE60" si="74">+AD60+1</f>
        <v>2045</v>
      </c>
      <c r="AF60" s="218"/>
      <c r="AG60" s="218"/>
      <c r="AH60" s="218"/>
      <c r="AI60" s="218"/>
    </row>
    <row r="61" spans="2:35" x14ac:dyDescent="0.2">
      <c r="B61" s="9">
        <v>0</v>
      </c>
      <c r="C61" s="153" t="str">
        <f>'I1 General Inputs'!$C$14</f>
        <v>Base case</v>
      </c>
      <c r="D61" s="72"/>
      <c r="E61" s="77" t="s">
        <v>35</v>
      </c>
      <c r="F61" s="164">
        <v>0</v>
      </c>
      <c r="G61" s="164">
        <v>5698773.4040823793</v>
      </c>
      <c r="H61" s="164">
        <v>12053465.885652211</v>
      </c>
      <c r="I61" s="164">
        <v>55204161.813932292</v>
      </c>
      <c r="J61" s="164">
        <v>16211473.907240408</v>
      </c>
      <c r="K61" s="164">
        <v>18884292.921426915</v>
      </c>
      <c r="L61" s="164">
        <v>23573611.543240182</v>
      </c>
      <c r="M61" s="164">
        <v>7125658.3501247391</v>
      </c>
      <c r="N61" s="164">
        <v>10055645.438680405</v>
      </c>
      <c r="O61" s="164">
        <v>88169537.497800291</v>
      </c>
      <c r="P61" s="164">
        <v>7929071.6202298077</v>
      </c>
      <c r="Q61" s="164">
        <v>7.7647971746078319</v>
      </c>
      <c r="R61" s="164">
        <v>45644232.102569081</v>
      </c>
      <c r="S61" s="164">
        <v>22993399.801647451</v>
      </c>
      <c r="T61" s="164">
        <v>34782610.122740246</v>
      </c>
      <c r="U61" s="164">
        <v>3197493.8130671508</v>
      </c>
      <c r="V61" s="164">
        <v>41001277.110708691</v>
      </c>
      <c r="W61" s="164">
        <v>82632.215343265707</v>
      </c>
      <c r="X61" s="164">
        <v>31612856.564184975</v>
      </c>
      <c r="Y61" s="164">
        <v>9354187.8590311296</v>
      </c>
      <c r="Z61" s="164">
        <v>2875069.5621520681</v>
      </c>
      <c r="AA61" s="164">
        <v>35905529.112464748</v>
      </c>
      <c r="AB61" s="164">
        <v>10984501.717890974</v>
      </c>
      <c r="AC61" s="164">
        <v>81520369.173146904</v>
      </c>
      <c r="AD61" s="164">
        <v>48066964.152905293</v>
      </c>
      <c r="AE61" s="164">
        <v>16.762700363941057</v>
      </c>
      <c r="AF61" s="219"/>
      <c r="AG61" s="219"/>
      <c r="AH61" s="219"/>
      <c r="AI61" s="219"/>
    </row>
    <row r="62" spans="2:35" x14ac:dyDescent="0.2">
      <c r="B62" s="9">
        <v>1</v>
      </c>
      <c r="C62" s="152" t="str">
        <f>'I1 General Inputs'!$C$15</f>
        <v>Option 1A</v>
      </c>
      <c r="D62" s="72"/>
      <c r="E62" s="77" t="s">
        <v>35</v>
      </c>
      <c r="F62" s="164">
        <v>0</v>
      </c>
      <c r="G62" s="164">
        <v>5698794.7068177955</v>
      </c>
      <c r="H62" s="164">
        <v>12053478.914979175</v>
      </c>
      <c r="I62" s="164">
        <v>52078871.757281817</v>
      </c>
      <c r="J62" s="164">
        <v>17216545.447591275</v>
      </c>
      <c r="K62" s="164">
        <v>17471967.223954055</v>
      </c>
      <c r="L62" s="164">
        <v>21230884.905770492</v>
      </c>
      <c r="M62" s="164">
        <v>5987780.9816107387</v>
      </c>
      <c r="N62" s="164">
        <v>8655830.158716185</v>
      </c>
      <c r="O62" s="164">
        <v>98855259.088477731</v>
      </c>
      <c r="P62" s="164">
        <v>8236299.1733855596</v>
      </c>
      <c r="Q62" s="164">
        <v>0.41132966774999613</v>
      </c>
      <c r="R62" s="164">
        <v>44901796.200976625</v>
      </c>
      <c r="S62" s="164">
        <v>24411615.512764614</v>
      </c>
      <c r="T62" s="164">
        <v>34293388.843856521</v>
      </c>
      <c r="U62" s="164">
        <v>3457803.8351099826</v>
      </c>
      <c r="V62" s="164">
        <v>34217768.991464987</v>
      </c>
      <c r="W62" s="164">
        <v>0.57223879641452335</v>
      </c>
      <c r="X62" s="164">
        <v>25265025.356383085</v>
      </c>
      <c r="Y62" s="164">
        <v>7215633.9293542178</v>
      </c>
      <c r="Z62" s="164">
        <v>2900097.5191920972</v>
      </c>
      <c r="AA62" s="164">
        <v>36013739.289807856</v>
      </c>
      <c r="AB62" s="164">
        <v>11161211.491969798</v>
      </c>
      <c r="AC62" s="164">
        <v>77937306.275333717</v>
      </c>
      <c r="AD62" s="164">
        <v>47301124.947073229</v>
      </c>
      <c r="AE62" s="164">
        <v>0.88802429983816999</v>
      </c>
      <c r="AF62" s="219"/>
      <c r="AG62" s="219"/>
      <c r="AH62" s="219"/>
      <c r="AI62" s="219"/>
    </row>
    <row r="63" spans="2:35" x14ac:dyDescent="0.2">
      <c r="B63" s="9">
        <v>2</v>
      </c>
      <c r="C63" s="152" t="str">
        <f>'I1 General Inputs'!$C$16</f>
        <v>Option 1B</v>
      </c>
      <c r="D63" s="72"/>
      <c r="E63" s="77" t="s">
        <v>35</v>
      </c>
      <c r="F63" s="164">
        <v>0</v>
      </c>
      <c r="G63" s="164">
        <v>5698794.7124329545</v>
      </c>
      <c r="H63" s="164">
        <v>12053478.920924546</v>
      </c>
      <c r="I63" s="164">
        <v>55204253.35361208</v>
      </c>
      <c r="J63" s="164">
        <v>16211469.509992473</v>
      </c>
      <c r="K63" s="164">
        <v>18884292.050313901</v>
      </c>
      <c r="L63" s="164">
        <v>23419958.410437871</v>
      </c>
      <c r="M63" s="164">
        <v>7022346.080031109</v>
      </c>
      <c r="N63" s="164">
        <v>9967125.285589546</v>
      </c>
      <c r="O63" s="164">
        <v>87526499.781064153</v>
      </c>
      <c r="P63" s="164">
        <v>7926979.8441207418</v>
      </c>
      <c r="Q63" s="164">
        <v>0.4225056208553325</v>
      </c>
      <c r="R63" s="164">
        <v>45698654.649860173</v>
      </c>
      <c r="S63" s="164">
        <v>24072306.345568031</v>
      </c>
      <c r="T63" s="164">
        <v>36828522.303074561</v>
      </c>
      <c r="U63" s="164">
        <v>3832524.9267353942</v>
      </c>
      <c r="V63" s="164">
        <v>36161066.993298225</v>
      </c>
      <c r="W63" s="164">
        <v>82624.454088716462</v>
      </c>
      <c r="X63" s="164">
        <v>29086984.352820162</v>
      </c>
      <c r="Y63" s="164">
        <v>9085568.0158368219</v>
      </c>
      <c r="Z63" s="164">
        <v>2791761.4950286658</v>
      </c>
      <c r="AA63" s="164">
        <v>37583695.150047578</v>
      </c>
      <c r="AB63" s="164">
        <v>12932624.480278173</v>
      </c>
      <c r="AC63" s="164">
        <v>80490079.155116841</v>
      </c>
      <c r="AD63" s="164">
        <v>47848705.086235859</v>
      </c>
      <c r="AE63" s="164">
        <v>0.91212447112700668</v>
      </c>
      <c r="AF63" s="219"/>
      <c r="AG63" s="219"/>
      <c r="AH63" s="219"/>
      <c r="AI63" s="219"/>
    </row>
    <row r="64" spans="2:35" x14ac:dyDescent="0.2">
      <c r="B64" s="9">
        <v>3</v>
      </c>
      <c r="C64" s="152" t="str">
        <f>'I1 General Inputs'!$C$17</f>
        <v>Option 1C</v>
      </c>
      <c r="D64" s="72"/>
      <c r="E64" s="77" t="s">
        <v>35</v>
      </c>
      <c r="F64" s="164">
        <v>0</v>
      </c>
      <c r="G64" s="164">
        <v>5698793.8442282574</v>
      </c>
      <c r="H64" s="164">
        <v>12053479.060469734</v>
      </c>
      <c r="I64" s="164">
        <v>51989552.637877911</v>
      </c>
      <c r="J64" s="164">
        <v>17157316.398953199</v>
      </c>
      <c r="K64" s="164">
        <v>17471967.396821223</v>
      </c>
      <c r="L64" s="164">
        <v>21230885.088830065</v>
      </c>
      <c r="M64" s="164">
        <v>5987781.1753271408</v>
      </c>
      <c r="N64" s="164">
        <v>8655830.3643825501</v>
      </c>
      <c r="O64" s="164">
        <v>100490148.21211524</v>
      </c>
      <c r="P64" s="164">
        <v>8275322.077672258</v>
      </c>
      <c r="Q64" s="164">
        <v>0.68462899484680495</v>
      </c>
      <c r="R64" s="164">
        <v>44975925.883012019</v>
      </c>
      <c r="S64" s="164">
        <v>23496853.333506107</v>
      </c>
      <c r="T64" s="164">
        <v>33952873.377096489</v>
      </c>
      <c r="U64" s="164">
        <v>3457804.1375277899</v>
      </c>
      <c r="V64" s="164">
        <v>37026369.253860988</v>
      </c>
      <c r="W64" s="164">
        <v>0.9521781432512253</v>
      </c>
      <c r="X64" s="164">
        <v>29598645.354349691</v>
      </c>
      <c r="Y64" s="164">
        <v>6388791.1893152865</v>
      </c>
      <c r="Z64" s="164">
        <v>2179264.6870750505</v>
      </c>
      <c r="AA64" s="164">
        <v>35139136.887783781</v>
      </c>
      <c r="AB64" s="164">
        <v>8982812.5578820538</v>
      </c>
      <c r="AC64" s="164">
        <v>80307100.546004623</v>
      </c>
      <c r="AD64" s="164">
        <v>46186846.757868953</v>
      </c>
      <c r="AE64" s="164">
        <v>1.4779982559927409</v>
      </c>
      <c r="AF64" s="219"/>
      <c r="AG64" s="219"/>
      <c r="AH64" s="219"/>
      <c r="AI64" s="219"/>
    </row>
    <row r="65" spans="1:35" x14ac:dyDescent="0.2">
      <c r="B65" s="9">
        <v>4</v>
      </c>
      <c r="C65" s="152" t="str">
        <f>'I1 General Inputs'!$C$18</f>
        <v>Option 1D</v>
      </c>
      <c r="D65" s="72"/>
      <c r="E65" s="77" t="s">
        <v>35</v>
      </c>
      <c r="F65" s="164">
        <v>0</v>
      </c>
      <c r="G65" s="164">
        <v>5698794.7055963734</v>
      </c>
      <c r="H65" s="164">
        <v>12053478.913685953</v>
      </c>
      <c r="I65" s="164">
        <v>54764705.454661384</v>
      </c>
      <c r="J65" s="164">
        <v>17186492.003904399</v>
      </c>
      <c r="K65" s="164">
        <v>18529874.195348054</v>
      </c>
      <c r="L65" s="164">
        <v>23097512.655867707</v>
      </c>
      <c r="M65" s="164">
        <v>7253474.8424229883</v>
      </c>
      <c r="N65" s="164">
        <v>8980354.6632709671</v>
      </c>
      <c r="O65" s="164">
        <v>93250132.690629765</v>
      </c>
      <c r="P65" s="164">
        <v>7399973.1198957004</v>
      </c>
      <c r="Q65" s="164">
        <v>0.4089078494019861</v>
      </c>
      <c r="R65" s="164">
        <v>46696578.196524873</v>
      </c>
      <c r="S65" s="164">
        <v>22764672.705649376</v>
      </c>
      <c r="T65" s="164">
        <v>35011586.369993664</v>
      </c>
      <c r="U65" s="164">
        <v>3457857.3820291013</v>
      </c>
      <c r="V65" s="164">
        <v>40444661.827065736</v>
      </c>
      <c r="W65" s="164">
        <v>82634.281210481699</v>
      </c>
      <c r="X65" s="164">
        <v>28723740.020891096</v>
      </c>
      <c r="Y65" s="164">
        <v>7494339.482412193</v>
      </c>
      <c r="Z65" s="164">
        <v>3286174.0268229977</v>
      </c>
      <c r="AA65" s="164">
        <v>34545348.679236673</v>
      </c>
      <c r="AB65" s="164">
        <v>9788163.5242409725</v>
      </c>
      <c r="AC65" s="164">
        <v>81652288.548694521</v>
      </c>
      <c r="AD65" s="164">
        <v>47601245.389806852</v>
      </c>
      <c r="AE65" s="164">
        <v>0.88275980574467505</v>
      </c>
      <c r="AF65" s="219"/>
      <c r="AG65" s="219"/>
      <c r="AH65" s="219"/>
      <c r="AI65" s="219"/>
    </row>
    <row r="66" spans="1:35" x14ac:dyDescent="0.2">
      <c r="B66" s="9">
        <v>5</v>
      </c>
      <c r="C66" s="152" t="str">
        <f>'I1 General Inputs'!$C$19</f>
        <v>Option 5A</v>
      </c>
      <c r="D66" s="72"/>
      <c r="E66" s="77" t="s">
        <v>35</v>
      </c>
      <c r="F66" s="164">
        <v>0</v>
      </c>
      <c r="G66" s="164">
        <f>G61-(G61-G67)*$L$15</f>
        <v>5698773.4040823793</v>
      </c>
      <c r="H66" s="164">
        <f t="shared" ref="H66:AE66" si="75">H61-(H61-H67)*$L$15</f>
        <v>12053465.885652211</v>
      </c>
      <c r="I66" s="164">
        <f t="shared" si="75"/>
        <v>55204161.813932292</v>
      </c>
      <c r="J66" s="164">
        <f t="shared" si="75"/>
        <v>16211473.907240408</v>
      </c>
      <c r="K66" s="164">
        <f t="shared" si="75"/>
        <v>18884292.921426915</v>
      </c>
      <c r="L66" s="164">
        <f t="shared" si="75"/>
        <v>23573611.543240182</v>
      </c>
      <c r="M66" s="164">
        <f t="shared" si="75"/>
        <v>7125658.3501247391</v>
      </c>
      <c r="N66" s="164">
        <f t="shared" si="75"/>
        <v>10055645.438680405</v>
      </c>
      <c r="O66" s="164">
        <f t="shared" si="75"/>
        <v>88169537.497800291</v>
      </c>
      <c r="P66" s="164">
        <f t="shared" si="75"/>
        <v>7929071.6202298077</v>
      </c>
      <c r="Q66" s="164">
        <f t="shared" si="75"/>
        <v>7.7647971746078319</v>
      </c>
      <c r="R66" s="164">
        <f t="shared" si="75"/>
        <v>45644232.102569081</v>
      </c>
      <c r="S66" s="164">
        <f t="shared" si="75"/>
        <v>22993399.801647451</v>
      </c>
      <c r="T66" s="164">
        <f t="shared" si="75"/>
        <v>34782610.122740246</v>
      </c>
      <c r="U66" s="164">
        <f t="shared" si="75"/>
        <v>3197493.8130671508</v>
      </c>
      <c r="V66" s="164">
        <f t="shared" si="75"/>
        <v>41001277.110708691</v>
      </c>
      <c r="W66" s="164">
        <f t="shared" si="75"/>
        <v>82632.215343265707</v>
      </c>
      <c r="X66" s="164">
        <f t="shared" si="75"/>
        <v>31612856.564184975</v>
      </c>
      <c r="Y66" s="164">
        <f t="shared" si="75"/>
        <v>9354187.8590311296</v>
      </c>
      <c r="Z66" s="164">
        <f t="shared" si="75"/>
        <v>2875069.5621520681</v>
      </c>
      <c r="AA66" s="164">
        <f t="shared" si="75"/>
        <v>35905529.112464748</v>
      </c>
      <c r="AB66" s="164">
        <f t="shared" si="75"/>
        <v>10984501.717890974</v>
      </c>
      <c r="AC66" s="164">
        <f t="shared" si="75"/>
        <v>81520369.173146904</v>
      </c>
      <c r="AD66" s="164">
        <f t="shared" si="75"/>
        <v>48066964.152905293</v>
      </c>
      <c r="AE66" s="164">
        <f t="shared" si="75"/>
        <v>16.762700363941057</v>
      </c>
      <c r="AF66" s="219"/>
      <c r="AG66" s="219"/>
      <c r="AH66" s="219"/>
      <c r="AI66" s="219"/>
    </row>
    <row r="67" spans="1:35" x14ac:dyDescent="0.2">
      <c r="B67" s="9">
        <v>6</v>
      </c>
      <c r="C67" s="152" t="str">
        <f>'I1 General Inputs'!$C$20</f>
        <v>Option 5B</v>
      </c>
      <c r="D67" s="72"/>
      <c r="E67" s="77" t="s">
        <v>35</v>
      </c>
      <c r="F67" s="164">
        <v>0</v>
      </c>
      <c r="G67" s="164">
        <v>5698787.9151641903</v>
      </c>
      <c r="H67" s="164">
        <v>12053474.899379384</v>
      </c>
      <c r="I67" s="164">
        <v>52030516.476604573</v>
      </c>
      <c r="J67" s="164">
        <v>14023328.566712447</v>
      </c>
      <c r="K67" s="164">
        <v>18294670.826059464</v>
      </c>
      <c r="L67" s="164">
        <v>21013664.18424068</v>
      </c>
      <c r="M67" s="164">
        <v>5699702.7917676568</v>
      </c>
      <c r="N67" s="164">
        <v>9702364.4234218001</v>
      </c>
      <c r="O67" s="164">
        <v>87677404.673265636</v>
      </c>
      <c r="P67" s="164">
        <v>7879979.4189291876</v>
      </c>
      <c r="Q67" s="164">
        <v>2.8145304150501613</v>
      </c>
      <c r="R67" s="164">
        <v>45501987.92032367</v>
      </c>
      <c r="S67" s="164">
        <v>25371407.105540775</v>
      </c>
      <c r="T67" s="164">
        <v>37005552.220338188</v>
      </c>
      <c r="U67" s="164">
        <v>2624751.0547408154</v>
      </c>
      <c r="V67" s="164">
        <v>28311693.786070608</v>
      </c>
      <c r="W67" s="164">
        <v>3.9168683610986048</v>
      </c>
      <c r="X67" s="164">
        <v>23813931.563012313</v>
      </c>
      <c r="Y67" s="164">
        <v>6865259.338785355</v>
      </c>
      <c r="Z67" s="164">
        <v>2802823.5463439636</v>
      </c>
      <c r="AA67" s="164">
        <v>34842151.856207408</v>
      </c>
      <c r="AB67" s="164">
        <v>10757148.914728278</v>
      </c>
      <c r="AC67" s="164">
        <v>79739970.466943845</v>
      </c>
      <c r="AD67" s="164">
        <v>46503783.380116537</v>
      </c>
      <c r="AE67" s="164">
        <v>6.0763770287761227</v>
      </c>
      <c r="AF67" s="219"/>
      <c r="AG67" s="219"/>
      <c r="AH67" s="219"/>
      <c r="AI67" s="219"/>
    </row>
    <row r="68" spans="1:35" x14ac:dyDescent="0.2">
      <c r="E68" s="75"/>
    </row>
    <row r="69" spans="1:35" ht="15.75" x14ac:dyDescent="0.25">
      <c r="B69" s="69" t="s">
        <v>14</v>
      </c>
      <c r="C69" s="69" t="s">
        <v>13</v>
      </c>
      <c r="D69" s="69" t="s">
        <v>100</v>
      </c>
      <c r="E69" s="73" t="s">
        <v>7</v>
      </c>
      <c r="F69" s="69">
        <f>FirstYear</f>
        <v>2020</v>
      </c>
      <c r="G69" s="69">
        <f>+F69+1</f>
        <v>2021</v>
      </c>
      <c r="H69" s="69">
        <f t="shared" ref="H69" si="76">+G69+1</f>
        <v>2022</v>
      </c>
      <c r="I69" s="69">
        <f t="shared" ref="I69" si="77">+H69+1</f>
        <v>2023</v>
      </c>
      <c r="J69" s="69">
        <f t="shared" ref="J69" si="78">+I69+1</f>
        <v>2024</v>
      </c>
      <c r="K69" s="69">
        <f t="shared" ref="K69" si="79">+J69+1</f>
        <v>2025</v>
      </c>
      <c r="L69" s="69">
        <f t="shared" ref="L69" si="80">+K69+1</f>
        <v>2026</v>
      </c>
      <c r="M69" s="69">
        <f t="shared" ref="M69" si="81">+L69+1</f>
        <v>2027</v>
      </c>
      <c r="N69" s="69">
        <f t="shared" ref="N69" si="82">+M69+1</f>
        <v>2028</v>
      </c>
      <c r="O69" s="69">
        <f t="shared" ref="O69" si="83">+N69+1</f>
        <v>2029</v>
      </c>
      <c r="P69" s="69">
        <f t="shared" ref="P69" si="84">+O69+1</f>
        <v>2030</v>
      </c>
      <c r="Q69" s="69">
        <f t="shared" ref="Q69" si="85">+P69+1</f>
        <v>2031</v>
      </c>
      <c r="R69" s="69">
        <f t="shared" ref="R69" si="86">+Q69+1</f>
        <v>2032</v>
      </c>
      <c r="S69" s="69">
        <f t="shared" ref="S69" si="87">+R69+1</f>
        <v>2033</v>
      </c>
      <c r="T69" s="69">
        <f t="shared" ref="T69" si="88">+S69+1</f>
        <v>2034</v>
      </c>
      <c r="U69" s="69">
        <f t="shared" ref="U69" si="89">+T69+1</f>
        <v>2035</v>
      </c>
      <c r="V69" s="69">
        <f t="shared" ref="V69" si="90">+U69+1</f>
        <v>2036</v>
      </c>
      <c r="W69" s="69">
        <f t="shared" ref="W69" si="91">+V69+1</f>
        <v>2037</v>
      </c>
      <c r="X69" s="69">
        <f t="shared" ref="X69" si="92">+W69+1</f>
        <v>2038</v>
      </c>
      <c r="Y69" s="69">
        <f t="shared" ref="Y69" si="93">+X69+1</f>
        <v>2039</v>
      </c>
      <c r="Z69" s="69">
        <f t="shared" ref="Z69" si="94">+Y69+1</f>
        <v>2040</v>
      </c>
      <c r="AA69" s="69">
        <f t="shared" ref="AA69" si="95">+Z69+1</f>
        <v>2041</v>
      </c>
      <c r="AB69" s="69">
        <f t="shared" ref="AB69" si="96">+AA69+1</f>
        <v>2042</v>
      </c>
      <c r="AC69" s="69">
        <f t="shared" ref="AC69" si="97">+AB69+1</f>
        <v>2043</v>
      </c>
      <c r="AD69" s="69">
        <f t="shared" ref="AD69" si="98">+AC69+1</f>
        <v>2044</v>
      </c>
      <c r="AE69" s="69">
        <f t="shared" ref="AE69" si="99">+AD69+1</f>
        <v>2045</v>
      </c>
      <c r="AF69" s="218"/>
      <c r="AG69" s="218"/>
      <c r="AH69" s="218"/>
      <c r="AI69" s="218"/>
    </row>
    <row r="70" spans="1:35" x14ac:dyDescent="0.2">
      <c r="B70" s="9">
        <v>0</v>
      </c>
      <c r="C70" s="153" t="str">
        <f>'I1 General Inputs'!$C$14</f>
        <v>Base case</v>
      </c>
      <c r="D70" s="72"/>
      <c r="E70" s="77" t="s">
        <v>35</v>
      </c>
      <c r="F70" s="164">
        <v>0</v>
      </c>
      <c r="G70" s="164">
        <v>24932666.654449176</v>
      </c>
      <c r="H70" s="164">
        <v>13824242.819873843</v>
      </c>
      <c r="I70" s="164">
        <v>22702540.2414575</v>
      </c>
      <c r="J70" s="164">
        <v>51511672.029934458</v>
      </c>
      <c r="K70" s="164">
        <v>62865715.600019053</v>
      </c>
      <c r="L70" s="164">
        <v>3.9787669247477857</v>
      </c>
      <c r="M70" s="164">
        <v>4.2132839359773522</v>
      </c>
      <c r="N70" s="164">
        <v>12724124.143066859</v>
      </c>
      <c r="O70" s="164">
        <v>4.7274350200298016</v>
      </c>
      <c r="P70" s="164">
        <v>5.0481640753689838</v>
      </c>
      <c r="Q70" s="164">
        <v>29232480.717966098</v>
      </c>
      <c r="R70" s="164">
        <v>954870.35416077846</v>
      </c>
      <c r="S70" s="164">
        <v>74152088.905145481</v>
      </c>
      <c r="T70" s="164">
        <v>41784346.603335679</v>
      </c>
      <c r="U70" s="164">
        <v>37837.372112868114</v>
      </c>
      <c r="V70" s="164">
        <v>103306008.35231853</v>
      </c>
      <c r="W70" s="164">
        <v>7.4730628378864283</v>
      </c>
      <c r="X70" s="164">
        <v>7.9137872565638965</v>
      </c>
      <c r="Y70" s="164">
        <v>23830991.301692884</v>
      </c>
      <c r="Z70" s="164">
        <v>698249.2390358207</v>
      </c>
      <c r="AA70" s="164">
        <v>4144111.9210805176</v>
      </c>
      <c r="AB70" s="164">
        <v>70115210.983662069</v>
      </c>
      <c r="AC70" s="164">
        <v>29289697.679293305</v>
      </c>
      <c r="AD70" s="164">
        <v>33363790.272751838</v>
      </c>
      <c r="AE70" s="164">
        <v>11.828031235288268</v>
      </c>
      <c r="AF70" s="219"/>
      <c r="AG70" s="219"/>
      <c r="AH70" s="219"/>
      <c r="AI70" s="219"/>
    </row>
    <row r="71" spans="1:35" x14ac:dyDescent="0.2">
      <c r="B71" s="9">
        <v>1</v>
      </c>
      <c r="C71" s="152" t="str">
        <f>'I1 General Inputs'!$C$15</f>
        <v>Option 1A</v>
      </c>
      <c r="D71" s="72"/>
      <c r="E71" s="77" t="s">
        <v>35</v>
      </c>
      <c r="F71" s="164">
        <v>0</v>
      </c>
      <c r="G71" s="164">
        <v>24932666.884723525</v>
      </c>
      <c r="H71" s="164">
        <v>16747765.060020545</v>
      </c>
      <c r="I71" s="164">
        <v>21661427.567285523</v>
      </c>
      <c r="J71" s="164">
        <v>57279161.233420335</v>
      </c>
      <c r="K71" s="164">
        <v>77402140.072846666</v>
      </c>
      <c r="L71" s="164">
        <v>1.3261374136958033</v>
      </c>
      <c r="M71" s="164">
        <v>1.4043083440152404</v>
      </c>
      <c r="N71" s="164">
        <v>12714545.196199518</v>
      </c>
      <c r="O71" s="164">
        <v>1.5756419051064268</v>
      </c>
      <c r="P71" s="164">
        <v>144395.66536582846</v>
      </c>
      <c r="Q71" s="164">
        <v>26448538.261856299</v>
      </c>
      <c r="R71" s="164">
        <v>1195592.8468580032</v>
      </c>
      <c r="S71" s="164">
        <v>76431081.480951756</v>
      </c>
      <c r="T71" s="164">
        <v>43195328.508205421</v>
      </c>
      <c r="U71" s="164">
        <v>2.2253560888863011</v>
      </c>
      <c r="V71" s="164">
        <v>112111315.62748259</v>
      </c>
      <c r="W71" s="164">
        <v>2.490143533420424</v>
      </c>
      <c r="X71" s="164">
        <v>2.6369415448785087</v>
      </c>
      <c r="Y71" s="164">
        <v>24606478.335619658</v>
      </c>
      <c r="Z71" s="164">
        <v>6898986.4490709873</v>
      </c>
      <c r="AA71" s="164">
        <v>8553921.6793921795</v>
      </c>
      <c r="AB71" s="164">
        <v>97428543.112049282</v>
      </c>
      <c r="AC71" s="164">
        <v>30327024.213340338</v>
      </c>
      <c r="AD71" s="164">
        <v>30855225.961427879</v>
      </c>
      <c r="AE71" s="164">
        <v>3.9391675793080281</v>
      </c>
      <c r="AF71" s="219"/>
      <c r="AG71" s="219"/>
      <c r="AH71" s="219"/>
      <c r="AI71" s="219"/>
    </row>
    <row r="72" spans="1:35" x14ac:dyDescent="0.2">
      <c r="B72" s="9">
        <v>2</v>
      </c>
      <c r="C72" s="152" t="str">
        <f>'I1 General Inputs'!$C$16</f>
        <v>Option 1B</v>
      </c>
      <c r="D72" s="72"/>
      <c r="E72" s="77" t="s">
        <v>35</v>
      </c>
      <c r="F72" s="164">
        <v>0</v>
      </c>
      <c r="G72" s="164">
        <v>24932665.496808268</v>
      </c>
      <c r="H72" s="164">
        <v>13824243.712360406</v>
      </c>
      <c r="I72" s="164">
        <v>20327778.016741414</v>
      </c>
      <c r="J72" s="164">
        <v>52527159.903830826</v>
      </c>
      <c r="K72" s="164">
        <v>62518294.250603743</v>
      </c>
      <c r="L72" s="164">
        <v>5.2413725211673219</v>
      </c>
      <c r="M72" s="164">
        <v>5.5499773887152282</v>
      </c>
      <c r="N72" s="164">
        <v>12433408.460057825</v>
      </c>
      <c r="O72" s="164">
        <v>6.2277911486802502</v>
      </c>
      <c r="P72" s="164">
        <v>964525.36477423599</v>
      </c>
      <c r="Q72" s="164">
        <v>27175750.999965992</v>
      </c>
      <c r="R72" s="164">
        <v>3572941.9100967576</v>
      </c>
      <c r="S72" s="164">
        <v>78729739.381920248</v>
      </c>
      <c r="T72" s="164">
        <v>47030833.618661493</v>
      </c>
      <c r="U72" s="164">
        <v>1475402.2621966531</v>
      </c>
      <c r="V72" s="164">
        <v>119224271.83574852</v>
      </c>
      <c r="W72" s="164">
        <v>9.8495864587981199</v>
      </c>
      <c r="X72" s="164">
        <v>10.431427641889465</v>
      </c>
      <c r="Y72" s="164">
        <v>24840704.208511371</v>
      </c>
      <c r="Z72" s="164">
        <v>3952726.8103406504</v>
      </c>
      <c r="AA72" s="164">
        <v>6045699.3861463042</v>
      </c>
      <c r="AB72" s="164">
        <v>94919768.311357722</v>
      </c>
      <c r="AC72" s="164">
        <v>29869859.454300303</v>
      </c>
      <c r="AD72" s="164">
        <v>31652843.404071618</v>
      </c>
      <c r="AE72" s="164">
        <v>15.613458373435698</v>
      </c>
      <c r="AF72" s="219"/>
      <c r="AG72" s="219"/>
      <c r="AH72" s="219"/>
      <c r="AI72" s="219"/>
    </row>
    <row r="73" spans="1:35" x14ac:dyDescent="0.2">
      <c r="B73" s="9">
        <v>3</v>
      </c>
      <c r="C73" s="152" t="str">
        <f>'I1 General Inputs'!$C$17</f>
        <v>Option 1C</v>
      </c>
      <c r="D73" s="72"/>
      <c r="E73" s="77" t="s">
        <v>35</v>
      </c>
      <c r="F73" s="164">
        <v>0</v>
      </c>
      <c r="G73" s="164">
        <v>24932666.748052906</v>
      </c>
      <c r="H73" s="164">
        <v>14981616.606228953</v>
      </c>
      <c r="I73" s="164">
        <v>21590989.473481223</v>
      </c>
      <c r="J73" s="164">
        <v>54092087.642912552</v>
      </c>
      <c r="K73" s="164">
        <v>69621534.086968452</v>
      </c>
      <c r="L73" s="164">
        <v>1.1211431896586348</v>
      </c>
      <c r="M73" s="164">
        <v>1.1871854167225697</v>
      </c>
      <c r="N73" s="164">
        <v>14991006.923552733</v>
      </c>
      <c r="O73" s="164">
        <v>1.3321284165184999</v>
      </c>
      <c r="P73" s="164">
        <v>1.4473425648449938</v>
      </c>
      <c r="Q73" s="164">
        <v>29449337.630429178</v>
      </c>
      <c r="R73" s="164">
        <v>133020.02843058613</v>
      </c>
      <c r="S73" s="164">
        <v>72093529.45709385</v>
      </c>
      <c r="T73" s="164">
        <v>40608021.179887153</v>
      </c>
      <c r="U73" s="164">
        <v>1.8775492962207618</v>
      </c>
      <c r="V73" s="164">
        <v>103761942.78428522</v>
      </c>
      <c r="W73" s="164">
        <v>2.1065688812473984</v>
      </c>
      <c r="X73" s="164">
        <v>2.2309430337395848</v>
      </c>
      <c r="Y73" s="164">
        <v>23753314.401009597</v>
      </c>
      <c r="Z73" s="164">
        <v>2414287.365158922</v>
      </c>
      <c r="AA73" s="164">
        <v>6941235.5211883448</v>
      </c>
      <c r="AB73" s="164">
        <v>72314225.900675535</v>
      </c>
      <c r="AC73" s="164">
        <v>29443932.911401637</v>
      </c>
      <c r="AD73" s="164">
        <v>32073846.410568353</v>
      </c>
      <c r="AE73" s="164">
        <v>3.3373524875035905</v>
      </c>
      <c r="AF73" s="219"/>
      <c r="AG73" s="219"/>
      <c r="AH73" s="219"/>
      <c r="AI73" s="219"/>
    </row>
    <row r="74" spans="1:35" x14ac:dyDescent="0.2">
      <c r="B74" s="9">
        <v>4</v>
      </c>
      <c r="C74" s="152" t="str">
        <f>'I1 General Inputs'!$C$18</f>
        <v>Option 1D</v>
      </c>
      <c r="D74" s="72"/>
      <c r="E74" s="77" t="s">
        <v>35</v>
      </c>
      <c r="F74" s="164">
        <v>0</v>
      </c>
      <c r="G74" s="164">
        <v>24932666.428517871</v>
      </c>
      <c r="H74" s="164">
        <v>13824242.580804732</v>
      </c>
      <c r="I74" s="164">
        <v>21567668.006981391</v>
      </c>
      <c r="J74" s="164">
        <v>54282778.468977615</v>
      </c>
      <c r="K74" s="164">
        <v>70153873.583298057</v>
      </c>
      <c r="L74" s="164">
        <v>3.6400388745376815</v>
      </c>
      <c r="M74" s="164">
        <v>3.8543789887847471</v>
      </c>
      <c r="N74" s="164">
        <v>14957911.401809616</v>
      </c>
      <c r="O74" s="164">
        <v>4.3250661389793077</v>
      </c>
      <c r="P74" s="164">
        <v>4.5999219709164691</v>
      </c>
      <c r="Q74" s="164">
        <v>29231034.486265894</v>
      </c>
      <c r="R74" s="164">
        <v>528893.27945200249</v>
      </c>
      <c r="S74" s="164">
        <v>72329205.126202017</v>
      </c>
      <c r="T74" s="164">
        <v>40828665.311123125</v>
      </c>
      <c r="U74" s="164">
        <v>6.10246906724129</v>
      </c>
      <c r="V74" s="164">
        <v>103690862.2524908</v>
      </c>
      <c r="W74" s="164">
        <v>6.8388028621724795</v>
      </c>
      <c r="X74" s="164">
        <v>7.2423881313272265</v>
      </c>
      <c r="Y74" s="164">
        <v>23784075.681536015</v>
      </c>
      <c r="Z74" s="164">
        <v>501157.33531063842</v>
      </c>
      <c r="AA74" s="164">
        <v>4478939.7112197038</v>
      </c>
      <c r="AB74" s="164">
        <v>70472367.993617043</v>
      </c>
      <c r="AC74" s="164">
        <v>29429527.951390646</v>
      </c>
      <c r="AD74" s="164">
        <v>32463398.19199913</v>
      </c>
      <c r="AE74" s="164">
        <v>10.834465372315282</v>
      </c>
      <c r="AF74" s="219"/>
      <c r="AG74" s="219"/>
      <c r="AH74" s="219"/>
      <c r="AI74" s="219"/>
    </row>
    <row r="75" spans="1:35" x14ac:dyDescent="0.2">
      <c r="B75" s="9">
        <v>5</v>
      </c>
      <c r="C75" s="152" t="str">
        <f>'I1 General Inputs'!$C$19</f>
        <v>Option 5A</v>
      </c>
      <c r="D75" s="72"/>
      <c r="E75" s="77" t="s">
        <v>35</v>
      </c>
      <c r="F75" s="164">
        <v>0</v>
      </c>
      <c r="G75" s="164">
        <f>G70-(G70-G76)*$L$15</f>
        <v>24932666.654449176</v>
      </c>
      <c r="H75" s="164">
        <f t="shared" ref="H75:AE75" si="100">H70-(H70-H76)*$L$15</f>
        <v>13824242.819873843</v>
      </c>
      <c r="I75" s="164">
        <f t="shared" si="100"/>
        <v>22702540.2414575</v>
      </c>
      <c r="J75" s="164">
        <f t="shared" si="100"/>
        <v>51511672.029934458</v>
      </c>
      <c r="K75" s="164">
        <f t="shared" si="100"/>
        <v>62865715.600019053</v>
      </c>
      <c r="L75" s="164">
        <f t="shared" si="100"/>
        <v>3.9787669247477857</v>
      </c>
      <c r="M75" s="164">
        <f t="shared" si="100"/>
        <v>4.2132839359773522</v>
      </c>
      <c r="N75" s="164">
        <f t="shared" si="100"/>
        <v>12724124.143066859</v>
      </c>
      <c r="O75" s="164">
        <f t="shared" si="100"/>
        <v>4.7274350200298016</v>
      </c>
      <c r="P75" s="164">
        <f t="shared" si="100"/>
        <v>5.0481640753689838</v>
      </c>
      <c r="Q75" s="164">
        <f t="shared" si="100"/>
        <v>29232480.717966098</v>
      </c>
      <c r="R75" s="164">
        <f t="shared" si="100"/>
        <v>954870.35416077846</v>
      </c>
      <c r="S75" s="164">
        <f t="shared" si="100"/>
        <v>74152088.905145481</v>
      </c>
      <c r="T75" s="164">
        <f t="shared" si="100"/>
        <v>41784346.603335679</v>
      </c>
      <c r="U75" s="164">
        <f t="shared" si="100"/>
        <v>37837.372112868114</v>
      </c>
      <c r="V75" s="164">
        <f t="shared" si="100"/>
        <v>103306008.35231853</v>
      </c>
      <c r="W75" s="164">
        <f t="shared" si="100"/>
        <v>7.4730628378864283</v>
      </c>
      <c r="X75" s="164">
        <f t="shared" si="100"/>
        <v>7.9137872565638965</v>
      </c>
      <c r="Y75" s="164">
        <f t="shared" si="100"/>
        <v>23830991.301692884</v>
      </c>
      <c r="Z75" s="164">
        <f t="shared" si="100"/>
        <v>698249.2390358207</v>
      </c>
      <c r="AA75" s="164">
        <f t="shared" si="100"/>
        <v>4144111.9210805176</v>
      </c>
      <c r="AB75" s="164">
        <f t="shared" si="100"/>
        <v>70115210.983662069</v>
      </c>
      <c r="AC75" s="164">
        <f t="shared" si="100"/>
        <v>29289697.679293305</v>
      </c>
      <c r="AD75" s="164">
        <f t="shared" si="100"/>
        <v>33363790.272751838</v>
      </c>
      <c r="AE75" s="164">
        <f t="shared" si="100"/>
        <v>11.828031235288268</v>
      </c>
      <c r="AF75" s="219"/>
      <c r="AG75" s="219"/>
      <c r="AH75" s="219"/>
      <c r="AI75" s="219"/>
    </row>
    <row r="76" spans="1:35" x14ac:dyDescent="0.2">
      <c r="B76" s="9">
        <v>6</v>
      </c>
      <c r="C76" s="152" t="str">
        <f>'I1 General Inputs'!$C$20</f>
        <v>Option 5B</v>
      </c>
      <c r="D76" s="72"/>
      <c r="E76" s="77" t="s">
        <v>35</v>
      </c>
      <c r="F76" s="164">
        <v>0</v>
      </c>
      <c r="G76" s="164">
        <v>24932665.232506935</v>
      </c>
      <c r="H76" s="164">
        <v>14287662.891307738</v>
      </c>
      <c r="I76" s="164">
        <v>21905823.80271313</v>
      </c>
      <c r="J76" s="164">
        <v>53572739.085401826</v>
      </c>
      <c r="K76" s="164">
        <v>69604641.006571025</v>
      </c>
      <c r="L76" s="164">
        <v>1.8472014511159836</v>
      </c>
      <c r="M76" s="164">
        <v>1.9559633212056731</v>
      </c>
      <c r="N76" s="164">
        <v>12256217.476188196</v>
      </c>
      <c r="O76" s="164">
        <v>2.1948839934657505</v>
      </c>
      <c r="P76" s="164">
        <v>2.3420226026107138</v>
      </c>
      <c r="Q76" s="164">
        <v>25520832.306485374</v>
      </c>
      <c r="R76" s="164">
        <v>1400904.1656536185</v>
      </c>
      <c r="S76" s="164">
        <v>76502243.850031614</v>
      </c>
      <c r="T76" s="164">
        <v>41936210.20138713</v>
      </c>
      <c r="U76" s="164">
        <v>556691.50166754122</v>
      </c>
      <c r="V76" s="164">
        <v>111464429.44029301</v>
      </c>
      <c r="W76" s="164">
        <v>3.4714803186975423</v>
      </c>
      <c r="X76" s="164">
        <v>3.6765021511485174</v>
      </c>
      <c r="Y76" s="164">
        <v>24886880.408602949</v>
      </c>
      <c r="Z76" s="164">
        <v>4887526.0175062902</v>
      </c>
      <c r="AA76" s="164">
        <v>8394050.1128673069</v>
      </c>
      <c r="AB76" s="164">
        <v>99727515.644020662</v>
      </c>
      <c r="AC76" s="164">
        <v>29986084.418525115</v>
      </c>
      <c r="AD76" s="164">
        <v>29157506.890051208</v>
      </c>
      <c r="AE76" s="164">
        <v>5.5021276140900213</v>
      </c>
      <c r="AF76" s="219"/>
      <c r="AG76" s="219"/>
      <c r="AH76" s="219"/>
      <c r="AI76" s="219"/>
    </row>
    <row r="77" spans="1:35" x14ac:dyDescent="0.2">
      <c r="E77" s="75"/>
    </row>
    <row r="78" spans="1:35" ht="15.75" x14ac:dyDescent="0.25">
      <c r="B78" s="68" t="s">
        <v>66</v>
      </c>
      <c r="C78" s="68"/>
      <c r="D78" s="68"/>
      <c r="E78" s="142" t="s">
        <v>60</v>
      </c>
      <c r="F78" s="143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145"/>
      <c r="AG78" s="145"/>
      <c r="AH78" s="145"/>
      <c r="AI78" s="145"/>
    </row>
    <row r="79" spans="1:35" s="56" customFormat="1" ht="15.75" x14ac:dyDescent="0.25">
      <c r="A79" s="110"/>
      <c r="B79" s="145"/>
      <c r="C79" s="145"/>
      <c r="D79" s="145"/>
      <c r="E79" s="146"/>
      <c r="F79" s="147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</row>
    <row r="80" spans="1:35" ht="15.75" x14ac:dyDescent="0.25">
      <c r="B80" s="69" t="s">
        <v>14</v>
      </c>
      <c r="C80" s="69" t="s">
        <v>13</v>
      </c>
      <c r="D80" s="94" t="s">
        <v>115</v>
      </c>
      <c r="E80" s="73" t="s">
        <v>7</v>
      </c>
      <c r="F80" s="69">
        <f>FirstYear</f>
        <v>2020</v>
      </c>
      <c r="G80" s="69">
        <f>+F80+1</f>
        <v>2021</v>
      </c>
      <c r="H80" s="69">
        <f t="shared" ref="H80" si="101">+G80+1</f>
        <v>2022</v>
      </c>
      <c r="I80" s="69">
        <f t="shared" ref="I80" si="102">+H80+1</f>
        <v>2023</v>
      </c>
      <c r="J80" s="69">
        <f t="shared" ref="J80" si="103">+I80+1</f>
        <v>2024</v>
      </c>
      <c r="K80" s="69">
        <f t="shared" ref="K80" si="104">+J80+1</f>
        <v>2025</v>
      </c>
      <c r="L80" s="69">
        <f t="shared" ref="L80" si="105">+K80+1</f>
        <v>2026</v>
      </c>
      <c r="M80" s="69">
        <f t="shared" ref="M80" si="106">+L80+1</f>
        <v>2027</v>
      </c>
      <c r="N80" s="69">
        <f t="shared" ref="N80" si="107">+M80+1</f>
        <v>2028</v>
      </c>
      <c r="O80" s="69">
        <f t="shared" ref="O80" si="108">+N80+1</f>
        <v>2029</v>
      </c>
      <c r="P80" s="69">
        <f t="shared" ref="P80" si="109">+O80+1</f>
        <v>2030</v>
      </c>
      <c r="Q80" s="69">
        <f t="shared" ref="Q80" si="110">+P80+1</f>
        <v>2031</v>
      </c>
      <c r="R80" s="69">
        <f t="shared" ref="R80" si="111">+Q80+1</f>
        <v>2032</v>
      </c>
      <c r="S80" s="69">
        <f t="shared" ref="S80" si="112">+R80+1</f>
        <v>2033</v>
      </c>
      <c r="T80" s="69">
        <f t="shared" ref="T80" si="113">+S80+1</f>
        <v>2034</v>
      </c>
      <c r="U80" s="69">
        <f t="shared" ref="U80" si="114">+T80+1</f>
        <v>2035</v>
      </c>
      <c r="V80" s="69">
        <f t="shared" ref="V80" si="115">+U80+1</f>
        <v>2036</v>
      </c>
      <c r="W80" s="69">
        <f t="shared" ref="W80" si="116">+V80+1</f>
        <v>2037</v>
      </c>
      <c r="X80" s="69">
        <f t="shared" ref="X80" si="117">+W80+1</f>
        <v>2038</v>
      </c>
      <c r="Y80" s="69">
        <f t="shared" ref="Y80" si="118">+X80+1</f>
        <v>2039</v>
      </c>
      <c r="Z80" s="69">
        <f t="shared" ref="Z80" si="119">+Y80+1</f>
        <v>2040</v>
      </c>
      <c r="AA80" s="69">
        <f t="shared" ref="AA80" si="120">+Z80+1</f>
        <v>2041</v>
      </c>
      <c r="AB80" s="69">
        <f t="shared" ref="AB80" si="121">+AA80+1</f>
        <v>2042</v>
      </c>
      <c r="AC80" s="69">
        <f t="shared" ref="AC80" si="122">+AB80+1</f>
        <v>2043</v>
      </c>
      <c r="AD80" s="69">
        <f t="shared" ref="AD80" si="123">+AC80+1</f>
        <v>2044</v>
      </c>
      <c r="AE80" s="69">
        <f t="shared" ref="AE80" si="124">+AD80+1</f>
        <v>2045</v>
      </c>
      <c r="AF80" s="218"/>
      <c r="AG80" s="218"/>
      <c r="AH80" s="218"/>
      <c r="AI80" s="218"/>
    </row>
    <row r="81" spans="1:35" x14ac:dyDescent="0.2">
      <c r="B81" s="9">
        <v>0</v>
      </c>
      <c r="C81" s="153" t="str">
        <f>'I1 General Inputs'!$C$14</f>
        <v>Base case</v>
      </c>
      <c r="D81" s="72"/>
      <c r="E81" s="77" t="s">
        <v>35</v>
      </c>
      <c r="F81" s="164">
        <v>0</v>
      </c>
      <c r="G81" s="164">
        <v>17.035852415438388</v>
      </c>
      <c r="H81" s="164">
        <v>1.4119580099995557</v>
      </c>
      <c r="I81" s="164">
        <v>1.4510781826508519</v>
      </c>
      <c r="J81" s="164">
        <v>2.961259955427328</v>
      </c>
      <c r="K81" s="164">
        <v>2.1478435333672041</v>
      </c>
      <c r="L81" s="164">
        <v>2.249431164105514</v>
      </c>
      <c r="M81" s="164">
        <v>2.2995948088727549</v>
      </c>
      <c r="N81" s="164">
        <v>3.8470239196874965</v>
      </c>
      <c r="O81" s="164">
        <v>154017372.81854677</v>
      </c>
      <c r="P81" s="164">
        <v>7.6251242593907431</v>
      </c>
      <c r="Q81" s="164">
        <v>0.71149852046315687</v>
      </c>
      <c r="R81" s="164">
        <v>757585892.77211642</v>
      </c>
      <c r="S81" s="164">
        <v>216124676.70494241</v>
      </c>
      <c r="T81" s="164">
        <v>143458011.26346093</v>
      </c>
      <c r="U81" s="164">
        <v>0</v>
      </c>
      <c r="V81" s="164">
        <v>1336570765.6476216</v>
      </c>
      <c r="W81" s="164">
        <v>7194146.8475089753</v>
      </c>
      <c r="X81" s="164">
        <v>0.69571411978722875</v>
      </c>
      <c r="Y81" s="164">
        <v>2.7903656600617985</v>
      </c>
      <c r="Z81" s="164">
        <v>235022415.10174379</v>
      </c>
      <c r="AA81" s="164">
        <v>1.5197630897391661</v>
      </c>
      <c r="AB81" s="164">
        <v>6.7700090052704525</v>
      </c>
      <c r="AC81" s="164">
        <v>50970164.01156237</v>
      </c>
      <c r="AD81" s="164">
        <v>172017807.63778678</v>
      </c>
      <c r="AE81" s="164">
        <v>9705671.2863622457</v>
      </c>
      <c r="AF81" s="219"/>
      <c r="AG81" s="219"/>
      <c r="AH81" s="219"/>
      <c r="AI81" s="219"/>
    </row>
    <row r="82" spans="1:35" x14ac:dyDescent="0.2">
      <c r="B82" s="9">
        <v>1</v>
      </c>
      <c r="C82" s="152" t="str">
        <f>'I1 General Inputs'!$C$15</f>
        <v>Option 1A</v>
      </c>
      <c r="D82" s="72"/>
      <c r="E82" s="77" t="s">
        <v>35</v>
      </c>
      <c r="F82" s="164">
        <v>0</v>
      </c>
      <c r="G82" s="164">
        <v>7.8073452564144787</v>
      </c>
      <c r="H82" s="164">
        <v>0.64321702099812206</v>
      </c>
      <c r="I82" s="164">
        <v>0.63841381333268132</v>
      </c>
      <c r="J82" s="164">
        <v>1.2912856211162167</v>
      </c>
      <c r="K82" s="164">
        <v>0.98154521469183975</v>
      </c>
      <c r="L82" s="164">
        <v>1.0528662453382378</v>
      </c>
      <c r="M82" s="164">
        <v>0.93173450481554021</v>
      </c>
      <c r="N82" s="164">
        <v>1.7280672412277149</v>
      </c>
      <c r="O82" s="164">
        <v>119317176.85865</v>
      </c>
      <c r="P82" s="164">
        <v>3.531789911865908</v>
      </c>
      <c r="Q82" s="164">
        <v>0.34505933127454802</v>
      </c>
      <c r="R82" s="164">
        <v>753688264.23969281</v>
      </c>
      <c r="S82" s="164">
        <v>225683518.72979414</v>
      </c>
      <c r="T82" s="164">
        <v>134808438.95828271</v>
      </c>
      <c r="U82" s="164">
        <v>0</v>
      </c>
      <c r="V82" s="164">
        <v>1301527135.2434118</v>
      </c>
      <c r="W82" s="164">
        <v>9911478.8122385424</v>
      </c>
      <c r="X82" s="164">
        <v>0.33398468039059465</v>
      </c>
      <c r="Y82" s="164">
        <v>1.2186045107375658</v>
      </c>
      <c r="Z82" s="164">
        <v>248018546.24589753</v>
      </c>
      <c r="AA82" s="164">
        <v>4540906.127282382</v>
      </c>
      <c r="AB82" s="164">
        <v>3.5091897923459783</v>
      </c>
      <c r="AC82" s="164">
        <v>38018707.181148827</v>
      </c>
      <c r="AD82" s="164">
        <v>208267542.84572551</v>
      </c>
      <c r="AE82" s="164">
        <v>8724876.2616601232</v>
      </c>
      <c r="AF82" s="219"/>
      <c r="AG82" s="219"/>
      <c r="AH82" s="219"/>
      <c r="AI82" s="219"/>
    </row>
    <row r="83" spans="1:35" x14ac:dyDescent="0.2">
      <c r="B83" s="9">
        <v>2</v>
      </c>
      <c r="C83" s="152" t="str">
        <f>'I1 General Inputs'!$C$16</f>
        <v>Option 1B</v>
      </c>
      <c r="D83" s="72"/>
      <c r="E83" s="77" t="s">
        <v>35</v>
      </c>
      <c r="F83" s="164">
        <v>0</v>
      </c>
      <c r="G83" s="164">
        <v>33.056264631074988</v>
      </c>
      <c r="H83" s="164">
        <v>2.9220812951625881</v>
      </c>
      <c r="I83" s="164">
        <v>2.6978434128298185</v>
      </c>
      <c r="J83" s="164">
        <v>5.7816903319807675</v>
      </c>
      <c r="K83" s="164">
        <v>4.1681416025439102</v>
      </c>
      <c r="L83" s="164">
        <v>4.3939147433655412</v>
      </c>
      <c r="M83" s="164">
        <v>3.9876771416176595</v>
      </c>
      <c r="N83" s="164">
        <v>7.5455844037957309</v>
      </c>
      <c r="O83" s="164">
        <v>132468955.000967</v>
      </c>
      <c r="P83" s="164">
        <v>14.926295257581199</v>
      </c>
      <c r="Q83" s="164">
        <v>1.3815896858370222</v>
      </c>
      <c r="R83" s="164">
        <v>750814819.00154126</v>
      </c>
      <c r="S83" s="164">
        <v>212907299.02328718</v>
      </c>
      <c r="T83" s="164">
        <v>125657717.77257763</v>
      </c>
      <c r="U83" s="164">
        <v>2.5400201384419296E-2</v>
      </c>
      <c r="V83" s="164">
        <v>1325918071.845274</v>
      </c>
      <c r="W83" s="164">
        <v>24196427.548869897</v>
      </c>
      <c r="X83" s="164">
        <v>1.4410410199817134</v>
      </c>
      <c r="Y83" s="164">
        <v>5.2598046907517917</v>
      </c>
      <c r="Z83" s="164">
        <v>237608828.48477593</v>
      </c>
      <c r="AA83" s="164">
        <v>10116680.504177233</v>
      </c>
      <c r="AB83" s="164">
        <v>12.873707938916066</v>
      </c>
      <c r="AC83" s="164">
        <v>50080804.764871232</v>
      </c>
      <c r="AD83" s="164">
        <v>178605710.95972168</v>
      </c>
      <c r="AE83" s="164">
        <v>9528873.4653383326</v>
      </c>
      <c r="AF83" s="219"/>
      <c r="AG83" s="219"/>
      <c r="AH83" s="219"/>
      <c r="AI83" s="219"/>
    </row>
    <row r="84" spans="1:35" x14ac:dyDescent="0.2">
      <c r="B84" s="9">
        <v>3</v>
      </c>
      <c r="C84" s="152" t="str">
        <f>'I1 General Inputs'!$C$17</f>
        <v>Option 1C</v>
      </c>
      <c r="D84" s="72"/>
      <c r="E84" s="77" t="s">
        <v>35</v>
      </c>
      <c r="F84" s="164">
        <v>0</v>
      </c>
      <c r="G84" s="164">
        <v>8.8933748392711518</v>
      </c>
      <c r="H84" s="164">
        <v>0.73797661742729026</v>
      </c>
      <c r="I84" s="164">
        <v>0.80805300681840597</v>
      </c>
      <c r="J84" s="164">
        <v>1.4082774503905515</v>
      </c>
      <c r="K84" s="164">
        <v>1.1215000512824085</v>
      </c>
      <c r="L84" s="164">
        <v>1.1648510830589591</v>
      </c>
      <c r="M84" s="164">
        <v>1.1746726709556543</v>
      </c>
      <c r="N84" s="164">
        <v>1.9646521289543233</v>
      </c>
      <c r="O84" s="164">
        <v>157230405.05525598</v>
      </c>
      <c r="P84" s="164">
        <v>3.9983481687224338</v>
      </c>
      <c r="Q84" s="164">
        <v>0.34196113961523072</v>
      </c>
      <c r="R84" s="164">
        <v>738509158.76526189</v>
      </c>
      <c r="S84" s="164">
        <v>224733775.9144446</v>
      </c>
      <c r="T84" s="164">
        <v>149235198.46011382</v>
      </c>
      <c r="U84" s="164">
        <v>0</v>
      </c>
      <c r="V84" s="164">
        <v>1337691748.6644764</v>
      </c>
      <c r="W84" s="164">
        <v>9289833.2282675579</v>
      </c>
      <c r="X84" s="164">
        <v>0.33761597075795902</v>
      </c>
      <c r="Y84" s="164">
        <v>1.4533802339908866</v>
      </c>
      <c r="Z84" s="164">
        <v>234354277.04968029</v>
      </c>
      <c r="AA84" s="164">
        <v>0.80593746447910064</v>
      </c>
      <c r="AB84" s="164">
        <v>4.0768698599860818</v>
      </c>
      <c r="AC84" s="164">
        <v>44377583.772584803</v>
      </c>
      <c r="AD84" s="164">
        <v>185136957.92713973</v>
      </c>
      <c r="AE84" s="164">
        <v>8770632.9722045325</v>
      </c>
      <c r="AF84" s="219"/>
      <c r="AG84" s="219"/>
      <c r="AH84" s="219"/>
      <c r="AI84" s="219"/>
    </row>
    <row r="85" spans="1:35" x14ac:dyDescent="0.2">
      <c r="B85" s="9">
        <v>4</v>
      </c>
      <c r="C85" s="152" t="str">
        <f>'I1 General Inputs'!$C$18</f>
        <v>Option 1D</v>
      </c>
      <c r="D85" s="72"/>
      <c r="E85" s="77" t="s">
        <v>35</v>
      </c>
      <c r="F85" s="164">
        <v>0</v>
      </c>
      <c r="G85" s="164">
        <v>7.4219489161532639</v>
      </c>
      <c r="H85" s="164">
        <v>0.53137778833444171</v>
      </c>
      <c r="I85" s="164">
        <v>0.55938103426265251</v>
      </c>
      <c r="J85" s="164">
        <v>1.148572140636789</v>
      </c>
      <c r="K85" s="164">
        <v>0.93575044879119118</v>
      </c>
      <c r="L85" s="164">
        <v>0.97349408720510833</v>
      </c>
      <c r="M85" s="164">
        <v>0.98728580238097108</v>
      </c>
      <c r="N85" s="164">
        <v>1.6454964253645803</v>
      </c>
      <c r="O85" s="164">
        <v>157233697.20317847</v>
      </c>
      <c r="P85" s="164">
        <v>3.3178149096015743</v>
      </c>
      <c r="Q85" s="164">
        <v>0.27260497433610903</v>
      </c>
      <c r="R85" s="164">
        <v>746566232.62297869</v>
      </c>
      <c r="S85" s="164">
        <v>213683833.21281627</v>
      </c>
      <c r="T85" s="164">
        <v>144728346.23109505</v>
      </c>
      <c r="U85" s="164">
        <v>0</v>
      </c>
      <c r="V85" s="164">
        <v>1343691136.9480031</v>
      </c>
      <c r="W85" s="164">
        <v>8971433.0861140713</v>
      </c>
      <c r="X85" s="164">
        <v>0.27997242502917186</v>
      </c>
      <c r="Y85" s="164">
        <v>1.2257867544340477</v>
      </c>
      <c r="Z85" s="164">
        <v>233444068.70517653</v>
      </c>
      <c r="AA85" s="164">
        <v>0.65742761216185419</v>
      </c>
      <c r="AB85" s="164">
        <v>3.0923625180574099</v>
      </c>
      <c r="AC85" s="164">
        <v>51845063.387621336</v>
      </c>
      <c r="AD85" s="164">
        <v>180171213.78407499</v>
      </c>
      <c r="AE85" s="164">
        <v>9124630.0660525374</v>
      </c>
      <c r="AF85" s="219"/>
      <c r="AG85" s="219"/>
      <c r="AH85" s="219"/>
      <c r="AI85" s="219"/>
    </row>
    <row r="86" spans="1:35" x14ac:dyDescent="0.2">
      <c r="B86" s="9">
        <v>5</v>
      </c>
      <c r="C86" s="152" t="str">
        <f>'I1 General Inputs'!$C$19</f>
        <v>Option 5A</v>
      </c>
      <c r="D86" s="72"/>
      <c r="E86" s="77" t="s">
        <v>35</v>
      </c>
      <c r="F86" s="164">
        <v>0</v>
      </c>
      <c r="G86" s="164">
        <f>G81-(G81-G87)*$L$15</f>
        <v>17.035852415438388</v>
      </c>
      <c r="H86" s="164">
        <f t="shared" ref="H86:AE86" si="125">H81-(H81-H87)*$L$15</f>
        <v>1.4119580099995557</v>
      </c>
      <c r="I86" s="164">
        <f t="shared" si="125"/>
        <v>1.4510781826508519</v>
      </c>
      <c r="J86" s="164">
        <f t="shared" si="125"/>
        <v>2.961259955427328</v>
      </c>
      <c r="K86" s="164">
        <f t="shared" si="125"/>
        <v>2.1478435333672041</v>
      </c>
      <c r="L86" s="164">
        <f t="shared" si="125"/>
        <v>2.249431164105514</v>
      </c>
      <c r="M86" s="164">
        <f t="shared" si="125"/>
        <v>2.2995948088727549</v>
      </c>
      <c r="N86" s="164">
        <f t="shared" si="125"/>
        <v>3.8470239196874965</v>
      </c>
      <c r="O86" s="164">
        <f t="shared" si="125"/>
        <v>154017372.81854677</v>
      </c>
      <c r="P86" s="164">
        <f t="shared" si="125"/>
        <v>7.6251242593907431</v>
      </c>
      <c r="Q86" s="164">
        <f t="shared" si="125"/>
        <v>0.71149852046315687</v>
      </c>
      <c r="R86" s="164">
        <f t="shared" si="125"/>
        <v>757585892.77211642</v>
      </c>
      <c r="S86" s="164">
        <f t="shared" si="125"/>
        <v>216124676.70494241</v>
      </c>
      <c r="T86" s="164">
        <f t="shared" si="125"/>
        <v>143458011.26346093</v>
      </c>
      <c r="U86" s="164">
        <f t="shared" si="125"/>
        <v>0</v>
      </c>
      <c r="V86" s="164">
        <f t="shared" si="125"/>
        <v>1336570765.6476216</v>
      </c>
      <c r="W86" s="164">
        <f t="shared" si="125"/>
        <v>7194146.8475089753</v>
      </c>
      <c r="X86" s="164">
        <f t="shared" si="125"/>
        <v>0.69571411978722875</v>
      </c>
      <c r="Y86" s="164">
        <f t="shared" si="125"/>
        <v>2.7903656600617985</v>
      </c>
      <c r="Z86" s="164">
        <f t="shared" si="125"/>
        <v>235022415.10174379</v>
      </c>
      <c r="AA86" s="164">
        <f t="shared" si="125"/>
        <v>1.5197630897391661</v>
      </c>
      <c r="AB86" s="164">
        <f t="shared" si="125"/>
        <v>6.7700090052704525</v>
      </c>
      <c r="AC86" s="164">
        <f t="shared" si="125"/>
        <v>50970164.01156237</v>
      </c>
      <c r="AD86" s="164">
        <f t="shared" si="125"/>
        <v>172017807.63778678</v>
      </c>
      <c r="AE86" s="164">
        <f t="shared" si="125"/>
        <v>9705671.2863622457</v>
      </c>
      <c r="AF86" s="219"/>
      <c r="AG86" s="219"/>
      <c r="AH86" s="219"/>
      <c r="AI86" s="219"/>
    </row>
    <row r="87" spans="1:35" x14ac:dyDescent="0.2">
      <c r="B87" s="9">
        <v>6</v>
      </c>
      <c r="C87" s="152" t="str">
        <f>'I1 General Inputs'!$C$20</f>
        <v>Option 5B</v>
      </c>
      <c r="D87" s="72"/>
      <c r="E87" s="77" t="s">
        <v>35</v>
      </c>
      <c r="F87" s="164">
        <v>0</v>
      </c>
      <c r="G87" s="164">
        <v>12.563331416746763</v>
      </c>
      <c r="H87" s="164">
        <v>1.0306743632019897</v>
      </c>
      <c r="I87" s="164">
        <v>0.99175652840410966</v>
      </c>
      <c r="J87" s="164">
        <v>1.9307411878214291</v>
      </c>
      <c r="K87" s="164">
        <v>1.5783097596284179</v>
      </c>
      <c r="L87" s="164">
        <v>1.6773651469448245</v>
      </c>
      <c r="M87" s="164">
        <v>1.4226463722251519</v>
      </c>
      <c r="N87" s="164">
        <v>2.740019848892838</v>
      </c>
      <c r="O87" s="164">
        <v>120978022.94492537</v>
      </c>
      <c r="P87" s="164">
        <v>5.5973905964708832</v>
      </c>
      <c r="Q87" s="164">
        <v>0.58035526312364827</v>
      </c>
      <c r="R87" s="164">
        <v>733186156.83818161</v>
      </c>
      <c r="S87" s="164">
        <v>228765547.39970019</v>
      </c>
      <c r="T87" s="164">
        <v>138589871.34239864</v>
      </c>
      <c r="U87" s="164">
        <v>0</v>
      </c>
      <c r="V87" s="164">
        <v>1298532491.8410342</v>
      </c>
      <c r="W87" s="164">
        <v>11400860.877491938</v>
      </c>
      <c r="X87" s="164">
        <v>0.51855650879181359</v>
      </c>
      <c r="Y87" s="164">
        <v>2.3349129958776551</v>
      </c>
      <c r="Z87" s="164">
        <v>247537756.68036607</v>
      </c>
      <c r="AA87" s="164">
        <v>1.1883709457438363</v>
      </c>
      <c r="AB87" s="164">
        <v>6.0748812825162748</v>
      </c>
      <c r="AC87" s="164">
        <v>49683658.256536655</v>
      </c>
      <c r="AD87" s="164">
        <v>212489427.81808078</v>
      </c>
      <c r="AE87" s="164">
        <v>8924785.4674776085</v>
      </c>
      <c r="AF87" s="219"/>
      <c r="AG87" s="219"/>
      <c r="AH87" s="219"/>
      <c r="AI87" s="219"/>
    </row>
    <row r="88" spans="1:35" s="56" customFormat="1" x14ac:dyDescent="0.2">
      <c r="A88" s="110"/>
      <c r="B88" s="74"/>
      <c r="C88" s="90"/>
      <c r="D88" s="90"/>
      <c r="E88" s="91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</row>
    <row r="89" spans="1:35" s="56" customFormat="1" ht="15.75" x14ac:dyDescent="0.25">
      <c r="A89" s="110"/>
      <c r="B89" s="69" t="s">
        <v>14</v>
      </c>
      <c r="C89" s="69" t="s">
        <v>13</v>
      </c>
      <c r="D89" s="94" t="s">
        <v>116</v>
      </c>
      <c r="E89" s="73" t="s">
        <v>7</v>
      </c>
      <c r="F89" s="69">
        <f>FirstYear</f>
        <v>2020</v>
      </c>
      <c r="G89" s="69">
        <f>+F89+1</f>
        <v>2021</v>
      </c>
      <c r="H89" s="69">
        <f t="shared" ref="H89" si="126">+G89+1</f>
        <v>2022</v>
      </c>
      <c r="I89" s="69">
        <f t="shared" ref="I89" si="127">+H89+1</f>
        <v>2023</v>
      </c>
      <c r="J89" s="69">
        <f t="shared" ref="J89" si="128">+I89+1</f>
        <v>2024</v>
      </c>
      <c r="K89" s="69">
        <f t="shared" ref="K89" si="129">+J89+1</f>
        <v>2025</v>
      </c>
      <c r="L89" s="69">
        <f t="shared" ref="L89" si="130">+K89+1</f>
        <v>2026</v>
      </c>
      <c r="M89" s="69">
        <f t="shared" ref="M89" si="131">+L89+1</f>
        <v>2027</v>
      </c>
      <c r="N89" s="69">
        <f t="shared" ref="N89" si="132">+M89+1</f>
        <v>2028</v>
      </c>
      <c r="O89" s="69">
        <f t="shared" ref="O89" si="133">+N89+1</f>
        <v>2029</v>
      </c>
      <c r="P89" s="69">
        <f t="shared" ref="P89" si="134">+O89+1</f>
        <v>2030</v>
      </c>
      <c r="Q89" s="69">
        <f t="shared" ref="Q89" si="135">+P89+1</f>
        <v>2031</v>
      </c>
      <c r="R89" s="69">
        <f t="shared" ref="R89" si="136">+Q89+1</f>
        <v>2032</v>
      </c>
      <c r="S89" s="69">
        <f t="shared" ref="S89" si="137">+R89+1</f>
        <v>2033</v>
      </c>
      <c r="T89" s="69">
        <f t="shared" ref="T89" si="138">+S89+1</f>
        <v>2034</v>
      </c>
      <c r="U89" s="69">
        <f t="shared" ref="U89" si="139">+T89+1</f>
        <v>2035</v>
      </c>
      <c r="V89" s="69">
        <f t="shared" ref="V89" si="140">+U89+1</f>
        <v>2036</v>
      </c>
      <c r="W89" s="69">
        <f t="shared" ref="W89" si="141">+V89+1</f>
        <v>2037</v>
      </c>
      <c r="X89" s="69">
        <f t="shared" ref="X89" si="142">+W89+1</f>
        <v>2038</v>
      </c>
      <c r="Y89" s="69">
        <f t="shared" ref="Y89" si="143">+X89+1</f>
        <v>2039</v>
      </c>
      <c r="Z89" s="69">
        <f t="shared" ref="Z89" si="144">+Y89+1</f>
        <v>2040</v>
      </c>
      <c r="AA89" s="69">
        <f t="shared" ref="AA89" si="145">+Z89+1</f>
        <v>2041</v>
      </c>
      <c r="AB89" s="69">
        <f t="shared" ref="AB89" si="146">+AA89+1</f>
        <v>2042</v>
      </c>
      <c r="AC89" s="69">
        <f t="shared" ref="AC89" si="147">+AB89+1</f>
        <v>2043</v>
      </c>
      <c r="AD89" s="69">
        <f t="shared" ref="AD89" si="148">+AC89+1</f>
        <v>2044</v>
      </c>
      <c r="AE89" s="69">
        <f t="shared" ref="AE89" si="149">+AD89+1</f>
        <v>2045</v>
      </c>
      <c r="AF89" s="218"/>
      <c r="AG89" s="218"/>
      <c r="AH89" s="218"/>
      <c r="AI89" s="218"/>
    </row>
    <row r="90" spans="1:35" s="56" customFormat="1" x14ac:dyDescent="0.2">
      <c r="A90" s="110"/>
      <c r="B90" s="9">
        <v>0</v>
      </c>
      <c r="C90" s="153" t="str">
        <f>'I1 General Inputs'!$C$14</f>
        <v>Base case</v>
      </c>
      <c r="D90" s="72"/>
      <c r="E90" s="77" t="s">
        <v>35</v>
      </c>
      <c r="F90" s="164">
        <v>0</v>
      </c>
      <c r="G90" s="164">
        <v>12.174935047218618</v>
      </c>
      <c r="H90" s="164">
        <v>0.75455086073431576</v>
      </c>
      <c r="I90" s="164">
        <v>34800996.032179587</v>
      </c>
      <c r="J90" s="164">
        <v>0.9222937100876345</v>
      </c>
      <c r="K90" s="164">
        <v>208207485.90294689</v>
      </c>
      <c r="L90" s="164">
        <v>58232059.011968777</v>
      </c>
      <c r="M90" s="164">
        <v>0.40552996651954487</v>
      </c>
      <c r="N90" s="164">
        <v>233032298.26731128</v>
      </c>
      <c r="O90" s="164">
        <v>402945213.20909011</v>
      </c>
      <c r="P90" s="164">
        <v>207418394.83265641</v>
      </c>
      <c r="Q90" s="164">
        <v>83046745.957789361</v>
      </c>
      <c r="R90" s="164">
        <v>475977123.22486073</v>
      </c>
      <c r="S90" s="164">
        <v>181220367.94465274</v>
      </c>
      <c r="T90" s="164">
        <v>268769169.95856488</v>
      </c>
      <c r="U90" s="164">
        <v>0.45504273656613164</v>
      </c>
      <c r="V90" s="164">
        <v>863284425.09631503</v>
      </c>
      <c r="W90" s="164">
        <v>61407019.220802791</v>
      </c>
      <c r="X90" s="164">
        <v>116877034.22875297</v>
      </c>
      <c r="Y90" s="164">
        <v>28391076.962591559</v>
      </c>
      <c r="Z90" s="164">
        <v>416075801.52757913</v>
      </c>
      <c r="AA90" s="164">
        <v>510666914.08227146</v>
      </c>
      <c r="AB90" s="164">
        <v>331143247.59936416</v>
      </c>
      <c r="AC90" s="164">
        <v>0</v>
      </c>
      <c r="AD90" s="164">
        <v>673638773.70969689</v>
      </c>
      <c r="AE90" s="164">
        <v>105259097.50725928</v>
      </c>
      <c r="AF90" s="219"/>
      <c r="AG90" s="219"/>
      <c r="AH90" s="219"/>
      <c r="AI90" s="219"/>
    </row>
    <row r="91" spans="1:35" s="56" customFormat="1" x14ac:dyDescent="0.2">
      <c r="A91" s="110"/>
      <c r="B91" s="9">
        <v>1</v>
      </c>
      <c r="C91" s="152" t="str">
        <f>'I1 General Inputs'!$C$15</f>
        <v>Option 1A</v>
      </c>
      <c r="D91" s="72"/>
      <c r="E91" s="77" t="s">
        <v>35</v>
      </c>
      <c r="F91" s="164">
        <v>0</v>
      </c>
      <c r="G91" s="164">
        <v>11.720850155098507</v>
      </c>
      <c r="H91" s="164">
        <v>0.72489686479093784</v>
      </c>
      <c r="I91" s="164">
        <v>20862696.651213221</v>
      </c>
      <c r="J91" s="164">
        <v>0.9449260770308695</v>
      </c>
      <c r="K91" s="164">
        <v>220168457.376362</v>
      </c>
      <c r="L91" s="164">
        <v>40011871.393087938</v>
      </c>
      <c r="M91" s="164">
        <v>0.38158685587165531</v>
      </c>
      <c r="N91" s="164">
        <v>204583288.90509441</v>
      </c>
      <c r="O91" s="164">
        <v>407594489.06278551</v>
      </c>
      <c r="P91" s="164">
        <v>211906520.09823722</v>
      </c>
      <c r="Q91" s="164">
        <v>87649714.049926564</v>
      </c>
      <c r="R91" s="164">
        <v>479140118.20281756</v>
      </c>
      <c r="S91" s="164">
        <v>161939923.45818552</v>
      </c>
      <c r="T91" s="164">
        <v>272562655.65361321</v>
      </c>
      <c r="U91" s="164">
        <v>0.46783370926972795</v>
      </c>
      <c r="V91" s="164">
        <v>844929606.5189079</v>
      </c>
      <c r="W91" s="164">
        <v>79094781.909659311</v>
      </c>
      <c r="X91" s="164">
        <v>121897104.1910654</v>
      </c>
      <c r="Y91" s="164">
        <v>39743646.432880133</v>
      </c>
      <c r="Z91" s="164">
        <v>392940317.71578348</v>
      </c>
      <c r="AA91" s="164">
        <v>513679969.1830979</v>
      </c>
      <c r="AB91" s="164">
        <v>324731957.55623347</v>
      </c>
      <c r="AC91" s="164">
        <v>1.9260163332365007E-2</v>
      </c>
      <c r="AD91" s="164">
        <v>669937666.20054924</v>
      </c>
      <c r="AE91" s="164">
        <v>105238520.96722402</v>
      </c>
      <c r="AF91" s="219"/>
      <c r="AG91" s="219"/>
      <c r="AH91" s="219"/>
      <c r="AI91" s="219"/>
    </row>
    <row r="92" spans="1:35" s="56" customFormat="1" x14ac:dyDescent="0.2">
      <c r="A92" s="110"/>
      <c r="B92" s="9">
        <v>2</v>
      </c>
      <c r="C92" s="152" t="str">
        <f>'I1 General Inputs'!$C$16</f>
        <v>Option 1B</v>
      </c>
      <c r="D92" s="72"/>
      <c r="E92" s="77" t="s">
        <v>35</v>
      </c>
      <c r="F92" s="164">
        <v>0</v>
      </c>
      <c r="G92" s="164">
        <v>25.539807678933471</v>
      </c>
      <c r="H92" s="164">
        <v>1.7708649745112304</v>
      </c>
      <c r="I92" s="164">
        <v>6855819.701957576</v>
      </c>
      <c r="J92" s="164">
        <v>69292.428919544749</v>
      </c>
      <c r="K92" s="164">
        <v>226315848.65722796</v>
      </c>
      <c r="L92" s="164">
        <v>35029730.608629592</v>
      </c>
      <c r="M92" s="164">
        <v>0.8589398517763801</v>
      </c>
      <c r="N92" s="164">
        <v>207010205.96850237</v>
      </c>
      <c r="O92" s="164">
        <v>384142358.92051578</v>
      </c>
      <c r="P92" s="164">
        <v>252843383.70926282</v>
      </c>
      <c r="Q92" s="164">
        <v>81404447.191154227</v>
      </c>
      <c r="R92" s="164">
        <v>477702682.86349982</v>
      </c>
      <c r="S92" s="164">
        <v>175585456.16166943</v>
      </c>
      <c r="T92" s="164">
        <v>267325566.73064122</v>
      </c>
      <c r="U92" s="164">
        <v>0.89040172478122648</v>
      </c>
      <c r="V92" s="164">
        <v>869763977.86469841</v>
      </c>
      <c r="W92" s="164">
        <v>61995062.970982492</v>
      </c>
      <c r="X92" s="164">
        <v>117963997.14910449</v>
      </c>
      <c r="Y92" s="164">
        <v>32582809.663900845</v>
      </c>
      <c r="Z92" s="164">
        <v>407344415.99949443</v>
      </c>
      <c r="AA92" s="164">
        <v>509683848.48294187</v>
      </c>
      <c r="AB92" s="164">
        <v>317206181.10493273</v>
      </c>
      <c r="AC92" s="164">
        <v>1.4033701413691408E-2</v>
      </c>
      <c r="AD92" s="164">
        <v>672889370.73998749</v>
      </c>
      <c r="AE92" s="164">
        <v>108187112.06765534</v>
      </c>
      <c r="AF92" s="219"/>
      <c r="AG92" s="219"/>
      <c r="AH92" s="219"/>
      <c r="AI92" s="219"/>
    </row>
    <row r="93" spans="1:35" s="56" customFormat="1" x14ac:dyDescent="0.2">
      <c r="A93" s="110"/>
      <c r="B93" s="9">
        <v>3</v>
      </c>
      <c r="C93" s="152" t="str">
        <f>'I1 General Inputs'!$C$17</f>
        <v>Option 1C</v>
      </c>
      <c r="D93" s="72"/>
      <c r="E93" s="77" t="s">
        <v>35</v>
      </c>
      <c r="F93" s="164">
        <v>0</v>
      </c>
      <c r="G93" s="164">
        <v>9.3932003934077386</v>
      </c>
      <c r="H93" s="164">
        <v>0.57775850179541943</v>
      </c>
      <c r="I93" s="164">
        <v>62093468.692687325</v>
      </c>
      <c r="J93" s="164">
        <v>0.82362347945995529</v>
      </c>
      <c r="K93" s="164">
        <v>200655225.30146977</v>
      </c>
      <c r="L93" s="164">
        <v>57048163.997763082</v>
      </c>
      <c r="M93" s="164">
        <v>0.30254199046063135</v>
      </c>
      <c r="N93" s="164">
        <v>219752039.15423623</v>
      </c>
      <c r="O93" s="164">
        <v>407377829.49313116</v>
      </c>
      <c r="P93" s="164">
        <v>218345032.04900524</v>
      </c>
      <c r="Q93" s="164">
        <v>81099347.31002982</v>
      </c>
      <c r="R93" s="164">
        <v>478667122.31883067</v>
      </c>
      <c r="S93" s="164">
        <v>172850690.64478859</v>
      </c>
      <c r="T93" s="164">
        <v>272201050.83020198</v>
      </c>
      <c r="U93" s="164">
        <v>0.39649179116615191</v>
      </c>
      <c r="V93" s="164">
        <v>845988998.95033383</v>
      </c>
      <c r="W93" s="164">
        <v>68898567.120224789</v>
      </c>
      <c r="X93" s="164">
        <v>120098136.83563726</v>
      </c>
      <c r="Y93" s="164">
        <v>24885613.615830544</v>
      </c>
      <c r="Z93" s="164">
        <v>410718720.59747863</v>
      </c>
      <c r="AA93" s="164">
        <v>509985674.64638847</v>
      </c>
      <c r="AB93" s="164">
        <v>337900770.58222866</v>
      </c>
      <c r="AC93" s="164">
        <v>0</v>
      </c>
      <c r="AD93" s="164">
        <v>670353388.43111658</v>
      </c>
      <c r="AE93" s="164">
        <v>105075595.65548354</v>
      </c>
      <c r="AF93" s="219"/>
      <c r="AG93" s="219"/>
      <c r="AH93" s="219"/>
      <c r="AI93" s="219"/>
    </row>
    <row r="94" spans="1:35" s="56" customFormat="1" x14ac:dyDescent="0.2">
      <c r="A94" s="110"/>
      <c r="B94" s="9">
        <v>4</v>
      </c>
      <c r="C94" s="152" t="str">
        <f>'I1 General Inputs'!$C$18</f>
        <v>Option 1D</v>
      </c>
      <c r="D94" s="72"/>
      <c r="E94" s="77" t="s">
        <v>35</v>
      </c>
      <c r="F94" s="164">
        <v>0</v>
      </c>
      <c r="G94" s="164">
        <v>26.393013170923709</v>
      </c>
      <c r="H94" s="164">
        <v>1.839881468599361</v>
      </c>
      <c r="I94" s="164">
        <v>56701702.659137689</v>
      </c>
      <c r="J94" s="164">
        <v>1255278.4748809403</v>
      </c>
      <c r="K94" s="164">
        <v>195812567.28424951</v>
      </c>
      <c r="L94" s="164">
        <v>58925672.765610524</v>
      </c>
      <c r="M94" s="164">
        <v>0.96238806315046643</v>
      </c>
      <c r="N94" s="164">
        <v>224583491.75430709</v>
      </c>
      <c r="O94" s="164">
        <v>405313964.75606143</v>
      </c>
      <c r="P94" s="164">
        <v>215078704.98361874</v>
      </c>
      <c r="Q94" s="164">
        <v>82569037.614377975</v>
      </c>
      <c r="R94" s="164">
        <v>476434219.47957939</v>
      </c>
      <c r="S94" s="164">
        <v>173932629.60777643</v>
      </c>
      <c r="T94" s="164">
        <v>268299474.47977537</v>
      </c>
      <c r="U94" s="164">
        <v>1.0225429989051462</v>
      </c>
      <c r="V94" s="164">
        <v>854325550.3492384</v>
      </c>
      <c r="W94" s="164">
        <v>66981639.642495677</v>
      </c>
      <c r="X94" s="164">
        <v>120552083.8292578</v>
      </c>
      <c r="Y94" s="164">
        <v>23879510.300701704</v>
      </c>
      <c r="Z94" s="164">
        <v>418154980.53334498</v>
      </c>
      <c r="AA94" s="164">
        <v>507906061.70905584</v>
      </c>
      <c r="AB94" s="164">
        <v>334422509.11058497</v>
      </c>
      <c r="AC94" s="164">
        <v>5.2820547933588716E-2</v>
      </c>
      <c r="AD94" s="164">
        <v>672163622.64704132</v>
      </c>
      <c r="AE94" s="164">
        <v>104358494.53066184</v>
      </c>
      <c r="AF94" s="219"/>
      <c r="AG94" s="219"/>
      <c r="AH94" s="219"/>
      <c r="AI94" s="219"/>
    </row>
    <row r="95" spans="1:35" s="56" customFormat="1" x14ac:dyDescent="0.2">
      <c r="A95" s="110"/>
      <c r="B95" s="9">
        <v>5</v>
      </c>
      <c r="C95" s="152" t="str">
        <f>'I1 General Inputs'!$C$19</f>
        <v>Option 5A</v>
      </c>
      <c r="D95" s="72"/>
      <c r="E95" s="77" t="s">
        <v>35</v>
      </c>
      <c r="F95" s="164">
        <v>0</v>
      </c>
      <c r="G95" s="164">
        <f>G90-(G90-G96)*$L$15</f>
        <v>12.174935047218618</v>
      </c>
      <c r="H95" s="164">
        <f t="shared" ref="H95:AE95" si="150">H90-(H90-H96)*$L$15</f>
        <v>0.75455086073431576</v>
      </c>
      <c r="I95" s="164">
        <f t="shared" si="150"/>
        <v>34800996.032179587</v>
      </c>
      <c r="J95" s="164">
        <f t="shared" si="150"/>
        <v>0.9222937100876345</v>
      </c>
      <c r="K95" s="164">
        <f t="shared" si="150"/>
        <v>208207485.90294689</v>
      </c>
      <c r="L95" s="164">
        <f t="shared" si="150"/>
        <v>58232059.011968777</v>
      </c>
      <c r="M95" s="164">
        <f t="shared" si="150"/>
        <v>0.40552996651954487</v>
      </c>
      <c r="N95" s="164">
        <f t="shared" si="150"/>
        <v>233032298.26731128</v>
      </c>
      <c r="O95" s="164">
        <f t="shared" si="150"/>
        <v>402945213.20909011</v>
      </c>
      <c r="P95" s="164">
        <f t="shared" si="150"/>
        <v>207418394.83265641</v>
      </c>
      <c r="Q95" s="164">
        <f t="shared" si="150"/>
        <v>83046745.957789361</v>
      </c>
      <c r="R95" s="164">
        <f t="shared" si="150"/>
        <v>475977123.22486073</v>
      </c>
      <c r="S95" s="164">
        <f t="shared" si="150"/>
        <v>181220367.94465274</v>
      </c>
      <c r="T95" s="164">
        <f t="shared" si="150"/>
        <v>268769169.95856488</v>
      </c>
      <c r="U95" s="164">
        <f t="shared" si="150"/>
        <v>0.45504273656613164</v>
      </c>
      <c r="V95" s="164">
        <f t="shared" si="150"/>
        <v>863284425.09631503</v>
      </c>
      <c r="W95" s="164">
        <f t="shared" si="150"/>
        <v>61407019.220802791</v>
      </c>
      <c r="X95" s="164">
        <f t="shared" si="150"/>
        <v>116877034.22875297</v>
      </c>
      <c r="Y95" s="164">
        <f t="shared" si="150"/>
        <v>28391076.962591559</v>
      </c>
      <c r="Z95" s="164">
        <f t="shared" si="150"/>
        <v>416075801.52757913</v>
      </c>
      <c r="AA95" s="164">
        <f t="shared" si="150"/>
        <v>510666914.08227146</v>
      </c>
      <c r="AB95" s="164">
        <f t="shared" si="150"/>
        <v>331143247.59936416</v>
      </c>
      <c r="AC95" s="164">
        <f t="shared" si="150"/>
        <v>0</v>
      </c>
      <c r="AD95" s="164">
        <f t="shared" si="150"/>
        <v>673638773.70969689</v>
      </c>
      <c r="AE95" s="164">
        <f t="shared" si="150"/>
        <v>105259097.50725928</v>
      </c>
      <c r="AF95" s="219"/>
      <c r="AG95" s="219"/>
      <c r="AH95" s="219"/>
      <c r="AI95" s="219"/>
    </row>
    <row r="96" spans="1:35" s="56" customFormat="1" x14ac:dyDescent="0.2">
      <c r="A96" s="110"/>
      <c r="B96" s="9">
        <v>6</v>
      </c>
      <c r="C96" s="152" t="str">
        <f>'I1 General Inputs'!$C$20</f>
        <v>Option 5B</v>
      </c>
      <c r="D96" s="72"/>
      <c r="E96" s="77" t="s">
        <v>35</v>
      </c>
      <c r="F96" s="164">
        <v>0</v>
      </c>
      <c r="G96" s="164">
        <v>27.724077244999997</v>
      </c>
      <c r="H96" s="164">
        <v>1.9182714975809998</v>
      </c>
      <c r="I96" s="164">
        <v>20968026.646783143</v>
      </c>
      <c r="J96" s="164">
        <v>2.1856624983323543</v>
      </c>
      <c r="K96" s="164">
        <v>213447788.08773342</v>
      </c>
      <c r="L96" s="164">
        <v>36272896.16287756</v>
      </c>
      <c r="M96" s="164">
        <v>0.96516216367403429</v>
      </c>
      <c r="N96" s="164">
        <v>200403205.897861</v>
      </c>
      <c r="O96" s="164">
        <v>401461530.52900338</v>
      </c>
      <c r="P96" s="164">
        <v>210887369.44684729</v>
      </c>
      <c r="Q96" s="164">
        <v>89893631.854883417</v>
      </c>
      <c r="R96" s="164">
        <v>480143945.08434463</v>
      </c>
      <c r="S96" s="164">
        <v>172655091.12974569</v>
      </c>
      <c r="T96" s="164">
        <v>266966652.9467276</v>
      </c>
      <c r="U96" s="164">
        <v>0.92848325379935159</v>
      </c>
      <c r="V96" s="164">
        <v>835306527.77097011</v>
      </c>
      <c r="W96" s="164">
        <v>85056699.038525522</v>
      </c>
      <c r="X96" s="164">
        <v>122488902.03776352</v>
      </c>
      <c r="Y96" s="164">
        <v>34111870.814255573</v>
      </c>
      <c r="Z96" s="164">
        <v>403334414.69344288</v>
      </c>
      <c r="AA96" s="164">
        <v>521560315.36941773</v>
      </c>
      <c r="AB96" s="164">
        <v>326600222.50571799</v>
      </c>
      <c r="AC96" s="164">
        <v>8.7624150618940272E-2</v>
      </c>
      <c r="AD96" s="164">
        <v>675256569.61367905</v>
      </c>
      <c r="AE96" s="164">
        <v>107390702.16118711</v>
      </c>
      <c r="AF96" s="219"/>
      <c r="AG96" s="219"/>
      <c r="AH96" s="219"/>
      <c r="AI96" s="219"/>
    </row>
    <row r="97" spans="1:35" s="56" customFormat="1" x14ac:dyDescent="0.2">
      <c r="A97" s="110"/>
      <c r="B97" s="74"/>
      <c r="C97" s="90"/>
      <c r="D97" s="90"/>
      <c r="E97" s="91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</row>
    <row r="98" spans="1:35" s="56" customFormat="1" ht="15.75" x14ac:dyDescent="0.25">
      <c r="A98" s="110"/>
      <c r="B98" s="69" t="s">
        <v>14</v>
      </c>
      <c r="C98" s="69" t="s">
        <v>13</v>
      </c>
      <c r="D98" s="69" t="s">
        <v>99</v>
      </c>
      <c r="E98" s="73" t="s">
        <v>7</v>
      </c>
      <c r="F98" s="69">
        <f>FirstYear</f>
        <v>2020</v>
      </c>
      <c r="G98" s="69">
        <f>+F98+1</f>
        <v>2021</v>
      </c>
      <c r="H98" s="69">
        <f t="shared" ref="H98" si="151">+G98+1</f>
        <v>2022</v>
      </c>
      <c r="I98" s="69">
        <f t="shared" ref="I98" si="152">+H98+1</f>
        <v>2023</v>
      </c>
      <c r="J98" s="69">
        <f t="shared" ref="J98" si="153">+I98+1</f>
        <v>2024</v>
      </c>
      <c r="K98" s="69">
        <f t="shared" ref="K98" si="154">+J98+1</f>
        <v>2025</v>
      </c>
      <c r="L98" s="69">
        <f t="shared" ref="L98" si="155">+K98+1</f>
        <v>2026</v>
      </c>
      <c r="M98" s="69">
        <f t="shared" ref="M98" si="156">+L98+1</f>
        <v>2027</v>
      </c>
      <c r="N98" s="69">
        <f t="shared" ref="N98" si="157">+M98+1</f>
        <v>2028</v>
      </c>
      <c r="O98" s="69">
        <f t="shared" ref="O98" si="158">+N98+1</f>
        <v>2029</v>
      </c>
      <c r="P98" s="69">
        <f t="shared" ref="P98" si="159">+O98+1</f>
        <v>2030</v>
      </c>
      <c r="Q98" s="69">
        <f t="shared" ref="Q98" si="160">+P98+1</f>
        <v>2031</v>
      </c>
      <c r="R98" s="69">
        <f t="shared" ref="R98" si="161">+Q98+1</f>
        <v>2032</v>
      </c>
      <c r="S98" s="69">
        <f t="shared" ref="S98" si="162">+R98+1</f>
        <v>2033</v>
      </c>
      <c r="T98" s="69">
        <f t="shared" ref="T98" si="163">+S98+1</f>
        <v>2034</v>
      </c>
      <c r="U98" s="69">
        <f t="shared" ref="U98" si="164">+T98+1</f>
        <v>2035</v>
      </c>
      <c r="V98" s="69">
        <f t="shared" ref="V98" si="165">+U98+1</f>
        <v>2036</v>
      </c>
      <c r="W98" s="69">
        <f t="shared" ref="W98" si="166">+V98+1</f>
        <v>2037</v>
      </c>
      <c r="X98" s="69">
        <f t="shared" ref="X98" si="167">+W98+1</f>
        <v>2038</v>
      </c>
      <c r="Y98" s="69">
        <f t="shared" ref="Y98" si="168">+X98+1</f>
        <v>2039</v>
      </c>
      <c r="Z98" s="69">
        <f t="shared" ref="Z98" si="169">+Y98+1</f>
        <v>2040</v>
      </c>
      <c r="AA98" s="69">
        <f t="shared" ref="AA98" si="170">+Z98+1</f>
        <v>2041</v>
      </c>
      <c r="AB98" s="69">
        <f t="shared" ref="AB98" si="171">+AA98+1</f>
        <v>2042</v>
      </c>
      <c r="AC98" s="69">
        <f t="shared" ref="AC98" si="172">+AB98+1</f>
        <v>2043</v>
      </c>
      <c r="AD98" s="69">
        <f t="shared" ref="AD98" si="173">+AC98+1</f>
        <v>2044</v>
      </c>
      <c r="AE98" s="69">
        <f t="shared" ref="AE98" si="174">+AD98+1</f>
        <v>2045</v>
      </c>
      <c r="AF98" s="218"/>
      <c r="AG98" s="218"/>
      <c r="AH98" s="218"/>
      <c r="AI98" s="218"/>
    </row>
    <row r="99" spans="1:35" s="56" customFormat="1" x14ac:dyDescent="0.2">
      <c r="A99" s="110"/>
      <c r="B99" s="9">
        <v>0</v>
      </c>
      <c r="C99" s="153" t="str">
        <f>'I1 General Inputs'!$C$14</f>
        <v>Base case</v>
      </c>
      <c r="D99" s="72"/>
      <c r="E99" s="77" t="s">
        <v>35</v>
      </c>
      <c r="F99" s="164">
        <v>0</v>
      </c>
      <c r="G99" s="164">
        <v>52.999830712611185</v>
      </c>
      <c r="H99" s="164">
        <v>1.7055394194789271</v>
      </c>
      <c r="I99" s="164">
        <v>6.1590889101189514</v>
      </c>
      <c r="J99" s="164">
        <v>1.9040967128953403</v>
      </c>
      <c r="K99" s="164">
        <v>2.4817064806654883</v>
      </c>
      <c r="L99" s="164">
        <v>3.6610212246671234</v>
      </c>
      <c r="M99" s="164">
        <v>3.4134531720501755</v>
      </c>
      <c r="N99" s="164">
        <v>2.5290439422833972</v>
      </c>
      <c r="O99" s="164">
        <v>15.355258799702781</v>
      </c>
      <c r="P99" s="164">
        <v>21.11882271139028</v>
      </c>
      <c r="Q99" s="164">
        <v>1.2534825913785008</v>
      </c>
      <c r="R99" s="164">
        <v>0.72469967743295538</v>
      </c>
      <c r="S99" s="164">
        <v>7.0718768991520626</v>
      </c>
      <c r="T99" s="164">
        <v>7.6117345046272904</v>
      </c>
      <c r="U99" s="164">
        <v>1.1854569369617947</v>
      </c>
      <c r="V99" s="164">
        <v>191887551.39558759</v>
      </c>
      <c r="W99" s="164">
        <v>242767101.23484424</v>
      </c>
      <c r="X99" s="164">
        <v>16199742.863706447</v>
      </c>
      <c r="Y99" s="164">
        <v>9260944.054647645</v>
      </c>
      <c r="Z99" s="164">
        <v>131325693.48143603</v>
      </c>
      <c r="AA99" s="164">
        <v>75548166.569349572</v>
      </c>
      <c r="AB99" s="164">
        <v>60725414.686084926</v>
      </c>
      <c r="AC99" s="164">
        <v>2.5881988952915393</v>
      </c>
      <c r="AD99" s="164">
        <v>69342064.490046158</v>
      </c>
      <c r="AE99" s="164">
        <v>260530.13646172397</v>
      </c>
      <c r="AF99" s="219"/>
      <c r="AG99" s="219"/>
      <c r="AH99" s="219"/>
      <c r="AI99" s="219"/>
    </row>
    <row r="100" spans="1:35" s="56" customFormat="1" x14ac:dyDescent="0.2">
      <c r="A100" s="110"/>
      <c r="B100" s="9">
        <v>1</v>
      </c>
      <c r="C100" s="152" t="str">
        <f>'I1 General Inputs'!$C$15</f>
        <v>Option 1A</v>
      </c>
      <c r="D100" s="72"/>
      <c r="E100" s="77" t="s">
        <v>35</v>
      </c>
      <c r="F100" s="164">
        <v>0</v>
      </c>
      <c r="G100" s="164">
        <v>2.8074002761836363</v>
      </c>
      <c r="H100" s="164">
        <v>0</v>
      </c>
      <c r="I100" s="164">
        <v>0.25085089553767131</v>
      </c>
      <c r="J100" s="164">
        <v>0</v>
      </c>
      <c r="K100" s="164">
        <v>0</v>
      </c>
      <c r="L100" s="164">
        <v>4.1781496533141248E-2</v>
      </c>
      <c r="M100" s="164">
        <v>2.3979819166904486E-2</v>
      </c>
      <c r="N100" s="164">
        <v>0</v>
      </c>
      <c r="O100" s="164">
        <v>0.73142336217522119</v>
      </c>
      <c r="P100" s="164">
        <v>1.0638007172747819</v>
      </c>
      <c r="Q100" s="164">
        <v>0</v>
      </c>
      <c r="R100" s="164">
        <v>0</v>
      </c>
      <c r="S100" s="164">
        <v>0.34410552423114882</v>
      </c>
      <c r="T100" s="164">
        <v>0.37895322209423504</v>
      </c>
      <c r="U100" s="164">
        <v>5.7650719323472314E-2</v>
      </c>
      <c r="V100" s="164">
        <v>152165125.54471007</v>
      </c>
      <c r="W100" s="164">
        <v>245865986.39369696</v>
      </c>
      <c r="X100" s="164">
        <v>26398690.608001992</v>
      </c>
      <c r="Y100" s="164">
        <v>4164093.8052857686</v>
      </c>
      <c r="Z100" s="164">
        <v>135701625.04088065</v>
      </c>
      <c r="AA100" s="164">
        <v>80250211.808445752</v>
      </c>
      <c r="AB100" s="164">
        <v>62812414.358800672</v>
      </c>
      <c r="AC100" s="164">
        <v>0.12378029829834171</v>
      </c>
      <c r="AD100" s="164">
        <v>71754691.280242264</v>
      </c>
      <c r="AE100" s="164">
        <v>1118378.8444975687</v>
      </c>
      <c r="AF100" s="219"/>
      <c r="AG100" s="219"/>
      <c r="AH100" s="219"/>
      <c r="AI100" s="219"/>
    </row>
    <row r="101" spans="1:35" s="56" customFormat="1" x14ac:dyDescent="0.2">
      <c r="A101" s="110"/>
      <c r="B101" s="9">
        <v>2</v>
      </c>
      <c r="C101" s="152" t="str">
        <f>'I1 General Inputs'!$C$16</f>
        <v>Option 1B</v>
      </c>
      <c r="D101" s="72"/>
      <c r="E101" s="77" t="s">
        <v>35</v>
      </c>
      <c r="F101" s="164">
        <v>0</v>
      </c>
      <c r="G101" s="164">
        <v>2.8828491507016274</v>
      </c>
      <c r="H101" s="164">
        <v>0</v>
      </c>
      <c r="I101" s="164">
        <v>0.25831546697980562</v>
      </c>
      <c r="J101" s="164">
        <v>0</v>
      </c>
      <c r="K101" s="164">
        <v>0</v>
      </c>
      <c r="L101" s="164">
        <v>4.2946057955787813E-2</v>
      </c>
      <c r="M101" s="164">
        <v>2.4799756248115402E-2</v>
      </c>
      <c r="N101" s="164">
        <v>0</v>
      </c>
      <c r="O101" s="164">
        <v>0.7685460547717653</v>
      </c>
      <c r="P101" s="164">
        <v>1.1100903698114921</v>
      </c>
      <c r="Q101" s="164">
        <v>0</v>
      </c>
      <c r="R101" s="164">
        <v>0</v>
      </c>
      <c r="S101" s="164">
        <v>0.35715285894349436</v>
      </c>
      <c r="T101" s="164">
        <v>0.42468603568336527</v>
      </c>
      <c r="U101" s="164">
        <v>3.3952133909402632E-2</v>
      </c>
      <c r="V101" s="164">
        <v>158915826.71225718</v>
      </c>
      <c r="W101" s="164">
        <v>243133182.68661922</v>
      </c>
      <c r="X101" s="164">
        <v>34572935.600887582</v>
      </c>
      <c r="Y101" s="164">
        <v>9932580.5725763887</v>
      </c>
      <c r="Z101" s="164">
        <v>130153321.35546562</v>
      </c>
      <c r="AA101" s="164">
        <v>75661412.310948104</v>
      </c>
      <c r="AB101" s="164">
        <v>73966058.64231132</v>
      </c>
      <c r="AC101" s="164">
        <v>0.12813495513419978</v>
      </c>
      <c r="AD101" s="164">
        <v>69321475.345823422</v>
      </c>
      <c r="AE101" s="164">
        <v>1032349.1149783089</v>
      </c>
      <c r="AF101" s="219"/>
      <c r="AG101" s="219"/>
      <c r="AH101" s="219"/>
      <c r="AI101" s="219"/>
    </row>
    <row r="102" spans="1:35" s="56" customFormat="1" x14ac:dyDescent="0.2">
      <c r="A102" s="110"/>
      <c r="B102" s="9">
        <v>3</v>
      </c>
      <c r="C102" s="152" t="str">
        <f>'I1 General Inputs'!$C$17</f>
        <v>Option 1C</v>
      </c>
      <c r="D102" s="72"/>
      <c r="E102" s="77" t="s">
        <v>35</v>
      </c>
      <c r="F102" s="164">
        <v>0</v>
      </c>
      <c r="G102" s="164">
        <v>4.6721988856867318</v>
      </c>
      <c r="H102" s="164">
        <v>0</v>
      </c>
      <c r="I102" s="164">
        <v>0.43049948626230183</v>
      </c>
      <c r="J102" s="164">
        <v>0</v>
      </c>
      <c r="K102" s="164">
        <v>6.6143733034937258E-2</v>
      </c>
      <c r="L102" s="164">
        <v>0.32320830415697854</v>
      </c>
      <c r="M102" s="164">
        <v>0.12047915388524701</v>
      </c>
      <c r="N102" s="164">
        <v>3.0782491694958863E-2</v>
      </c>
      <c r="O102" s="164">
        <v>1.313031892064721</v>
      </c>
      <c r="P102" s="164">
        <v>1.7704597876362187</v>
      </c>
      <c r="Q102" s="164">
        <v>0.10746151176581978</v>
      </c>
      <c r="R102" s="164">
        <v>0</v>
      </c>
      <c r="S102" s="164">
        <v>0.59500404061962575</v>
      </c>
      <c r="T102" s="164">
        <v>0.62199656293736938</v>
      </c>
      <c r="U102" s="164">
        <v>9.3531751618516068E-2</v>
      </c>
      <c r="V102" s="164">
        <v>192693802.26647365</v>
      </c>
      <c r="W102" s="164">
        <v>244007117.99902773</v>
      </c>
      <c r="X102" s="164">
        <v>15161913.485965613</v>
      </c>
      <c r="Y102" s="164">
        <v>5250738.0251992457</v>
      </c>
      <c r="Z102" s="164">
        <v>135777119.32802069</v>
      </c>
      <c r="AA102" s="164">
        <v>77293475.810590863</v>
      </c>
      <c r="AB102" s="164">
        <v>54502435.910815395</v>
      </c>
      <c r="AC102" s="164">
        <v>0.20831552061349839</v>
      </c>
      <c r="AD102" s="164">
        <v>68979427.617079511</v>
      </c>
      <c r="AE102" s="164">
        <v>509393.45368920773</v>
      </c>
      <c r="AF102" s="219"/>
      <c r="AG102" s="219"/>
      <c r="AH102" s="219"/>
      <c r="AI102" s="219"/>
    </row>
    <row r="103" spans="1:35" s="56" customFormat="1" x14ac:dyDescent="0.2">
      <c r="A103" s="110"/>
      <c r="B103" s="9">
        <v>4</v>
      </c>
      <c r="C103" s="152" t="str">
        <f>'I1 General Inputs'!$C$18</f>
        <v>Option 1D</v>
      </c>
      <c r="D103" s="72"/>
      <c r="E103" s="77" t="s">
        <v>35</v>
      </c>
      <c r="F103" s="164">
        <v>0</v>
      </c>
      <c r="G103" s="164">
        <v>2.7910998778115159</v>
      </c>
      <c r="H103" s="164">
        <v>0</v>
      </c>
      <c r="I103" s="164">
        <v>0.25775024669059454</v>
      </c>
      <c r="J103" s="164">
        <v>0</v>
      </c>
      <c r="K103" s="164">
        <v>0</v>
      </c>
      <c r="L103" s="164">
        <v>4.2032034635803274E-2</v>
      </c>
      <c r="M103" s="164">
        <v>2.3664018066762126E-2</v>
      </c>
      <c r="N103" s="164">
        <v>0</v>
      </c>
      <c r="O103" s="164">
        <v>0.74403760556119813</v>
      </c>
      <c r="P103" s="164">
        <v>1.0631363108239216</v>
      </c>
      <c r="Q103" s="164">
        <v>0</v>
      </c>
      <c r="R103" s="164">
        <v>0</v>
      </c>
      <c r="S103" s="164">
        <v>0.34589114075389987</v>
      </c>
      <c r="T103" s="164">
        <v>0.3945722245692822</v>
      </c>
      <c r="U103" s="164">
        <v>3.3443981029835153E-2</v>
      </c>
      <c r="V103" s="164">
        <v>189579850.10788664</v>
      </c>
      <c r="W103" s="164">
        <v>245037283.51116148</v>
      </c>
      <c r="X103" s="164">
        <v>15294079.290975085</v>
      </c>
      <c r="Y103" s="164">
        <v>6939358.0794531582</v>
      </c>
      <c r="Z103" s="164">
        <v>135431839.05069041</v>
      </c>
      <c r="AA103" s="164">
        <v>77386725.630271986</v>
      </c>
      <c r="AB103" s="164">
        <v>56514123.991176136</v>
      </c>
      <c r="AC103" s="164">
        <v>0.12415496136056869</v>
      </c>
      <c r="AD103" s="164">
        <v>68454408.087653548</v>
      </c>
      <c r="AE103" s="164">
        <v>630182.37834024394</v>
      </c>
      <c r="AF103" s="219"/>
      <c r="AG103" s="219"/>
      <c r="AH103" s="219"/>
      <c r="AI103" s="219"/>
    </row>
    <row r="104" spans="1:35" s="56" customFormat="1" x14ac:dyDescent="0.2">
      <c r="A104" s="110"/>
      <c r="B104" s="9">
        <v>5</v>
      </c>
      <c r="C104" s="152" t="str">
        <f>'I1 General Inputs'!$C$19</f>
        <v>Option 5A</v>
      </c>
      <c r="D104" s="72"/>
      <c r="E104" s="77" t="s">
        <v>35</v>
      </c>
      <c r="F104" s="164">
        <v>0</v>
      </c>
      <c r="G104" s="164">
        <f>G99-(G99-G105)*$L$15</f>
        <v>52.999830712611185</v>
      </c>
      <c r="H104" s="164">
        <f t="shared" ref="H104:AE104" si="175">H99-(H99-H105)*$L$15</f>
        <v>1.7055394194789271</v>
      </c>
      <c r="I104" s="164">
        <f t="shared" si="175"/>
        <v>6.1590889101189514</v>
      </c>
      <c r="J104" s="164">
        <f t="shared" si="175"/>
        <v>1.9040967128953403</v>
      </c>
      <c r="K104" s="164">
        <f t="shared" si="175"/>
        <v>2.4817064806654883</v>
      </c>
      <c r="L104" s="164">
        <f t="shared" si="175"/>
        <v>3.6610212246671234</v>
      </c>
      <c r="M104" s="164">
        <f t="shared" si="175"/>
        <v>3.4134531720501755</v>
      </c>
      <c r="N104" s="164">
        <f t="shared" si="175"/>
        <v>2.5290439422833972</v>
      </c>
      <c r="O104" s="164">
        <f t="shared" si="175"/>
        <v>15.355258799702781</v>
      </c>
      <c r="P104" s="164">
        <f t="shared" si="175"/>
        <v>21.11882271139028</v>
      </c>
      <c r="Q104" s="164">
        <f t="shared" si="175"/>
        <v>1.2534825913785008</v>
      </c>
      <c r="R104" s="164">
        <f t="shared" si="175"/>
        <v>0.72469967743295538</v>
      </c>
      <c r="S104" s="164">
        <f t="shared" si="175"/>
        <v>7.0718768991520626</v>
      </c>
      <c r="T104" s="164">
        <f t="shared" si="175"/>
        <v>7.6117345046272904</v>
      </c>
      <c r="U104" s="164">
        <f t="shared" si="175"/>
        <v>1.1854569369617947</v>
      </c>
      <c r="V104" s="164">
        <f t="shared" si="175"/>
        <v>191887551.39558759</v>
      </c>
      <c r="W104" s="164">
        <f t="shared" si="175"/>
        <v>242767101.23484424</v>
      </c>
      <c r="X104" s="164">
        <f t="shared" si="175"/>
        <v>16199742.863706447</v>
      </c>
      <c r="Y104" s="164">
        <f t="shared" si="175"/>
        <v>9260944.054647645</v>
      </c>
      <c r="Z104" s="164">
        <f t="shared" si="175"/>
        <v>131325693.48143603</v>
      </c>
      <c r="AA104" s="164">
        <f t="shared" si="175"/>
        <v>75548166.569349572</v>
      </c>
      <c r="AB104" s="164">
        <f t="shared" si="175"/>
        <v>60725414.686084926</v>
      </c>
      <c r="AC104" s="164">
        <f t="shared" si="175"/>
        <v>2.5881988952915393</v>
      </c>
      <c r="AD104" s="164">
        <f t="shared" si="175"/>
        <v>69342064.490046158</v>
      </c>
      <c r="AE104" s="164">
        <f t="shared" si="175"/>
        <v>260530.13646172397</v>
      </c>
      <c r="AF104" s="219"/>
      <c r="AG104" s="219"/>
      <c r="AH104" s="219"/>
      <c r="AI104" s="219"/>
    </row>
    <row r="105" spans="1:35" s="56" customFormat="1" x14ac:dyDescent="0.2">
      <c r="A105" s="110"/>
      <c r="B105" s="9">
        <v>6</v>
      </c>
      <c r="C105" s="152" t="str">
        <f>'I1 General Inputs'!$C$20</f>
        <v>Option 5B</v>
      </c>
      <c r="D105" s="72"/>
      <c r="E105" s="77" t="s">
        <v>35</v>
      </c>
      <c r="F105" s="164">
        <v>0</v>
      </c>
      <c r="G105" s="164">
        <v>19.21105273299349</v>
      </c>
      <c r="H105" s="164">
        <v>0.51235093902305862</v>
      </c>
      <c r="I105" s="164">
        <v>2.2053126980783704</v>
      </c>
      <c r="J105" s="164">
        <v>0.66190653462179061</v>
      </c>
      <c r="K105" s="164">
        <v>0.86384588386456995</v>
      </c>
      <c r="L105" s="164">
        <v>1.3507466428765551</v>
      </c>
      <c r="M105" s="164">
        <v>1.2428300569433235</v>
      </c>
      <c r="N105" s="164">
        <v>0.90490519513010448</v>
      </c>
      <c r="O105" s="164">
        <v>1.4651347351531663</v>
      </c>
      <c r="P105" s="164">
        <v>11.229379189486146</v>
      </c>
      <c r="Q105" s="164">
        <v>0.40616700268799516</v>
      </c>
      <c r="R105" s="164">
        <v>0.27883110394729205</v>
      </c>
      <c r="S105" s="164">
        <v>2.0575762105877655</v>
      </c>
      <c r="T105" s="164">
        <v>2.5605900040174583</v>
      </c>
      <c r="U105" s="164">
        <v>0.63434309342082662</v>
      </c>
      <c r="V105" s="164">
        <v>142158957.4228856</v>
      </c>
      <c r="W105" s="164">
        <v>242995107.28446001</v>
      </c>
      <c r="X105" s="164">
        <v>36528377.785776846</v>
      </c>
      <c r="Y105" s="164">
        <v>8665282.2498308998</v>
      </c>
      <c r="Z105" s="164">
        <v>136653529.83038658</v>
      </c>
      <c r="AA105" s="164">
        <v>75044189.405576333</v>
      </c>
      <c r="AB105" s="164">
        <v>59815225.667243339</v>
      </c>
      <c r="AC105" s="164">
        <v>1.0231706015881394</v>
      </c>
      <c r="AD105" s="164">
        <v>69222614.362047568</v>
      </c>
      <c r="AE105" s="164">
        <v>990030.29608672671</v>
      </c>
      <c r="AF105" s="219"/>
      <c r="AG105" s="219"/>
      <c r="AH105" s="219"/>
      <c r="AI105" s="219"/>
    </row>
    <row r="106" spans="1:35" s="56" customFormat="1" x14ac:dyDescent="0.2">
      <c r="A106" s="110"/>
      <c r="B106" s="74"/>
      <c r="C106" s="90"/>
      <c r="D106" s="90"/>
      <c r="E106" s="91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</row>
    <row r="107" spans="1:35" s="56" customFormat="1" ht="15.75" x14ac:dyDescent="0.25">
      <c r="A107" s="110"/>
      <c r="B107" s="69" t="s">
        <v>14</v>
      </c>
      <c r="C107" s="69" t="s">
        <v>13</v>
      </c>
      <c r="D107" s="69" t="s">
        <v>100</v>
      </c>
      <c r="E107" s="73" t="s">
        <v>7</v>
      </c>
      <c r="F107" s="69">
        <f>FirstYear</f>
        <v>2020</v>
      </c>
      <c r="G107" s="69">
        <f>+F107+1</f>
        <v>2021</v>
      </c>
      <c r="H107" s="69">
        <f t="shared" ref="H107" si="176">+G107+1</f>
        <v>2022</v>
      </c>
      <c r="I107" s="69">
        <f t="shared" ref="I107" si="177">+H107+1</f>
        <v>2023</v>
      </c>
      <c r="J107" s="69">
        <f t="shared" ref="J107" si="178">+I107+1</f>
        <v>2024</v>
      </c>
      <c r="K107" s="69">
        <f t="shared" ref="K107" si="179">+J107+1</f>
        <v>2025</v>
      </c>
      <c r="L107" s="69">
        <f t="shared" ref="L107" si="180">+K107+1</f>
        <v>2026</v>
      </c>
      <c r="M107" s="69">
        <f t="shared" ref="M107" si="181">+L107+1</f>
        <v>2027</v>
      </c>
      <c r="N107" s="69">
        <f t="shared" ref="N107" si="182">+M107+1</f>
        <v>2028</v>
      </c>
      <c r="O107" s="69">
        <f t="shared" ref="O107" si="183">+N107+1</f>
        <v>2029</v>
      </c>
      <c r="P107" s="69">
        <f t="shared" ref="P107" si="184">+O107+1</f>
        <v>2030</v>
      </c>
      <c r="Q107" s="69">
        <f t="shared" ref="Q107" si="185">+P107+1</f>
        <v>2031</v>
      </c>
      <c r="R107" s="69">
        <f t="shared" ref="R107" si="186">+Q107+1</f>
        <v>2032</v>
      </c>
      <c r="S107" s="69">
        <f t="shared" ref="S107" si="187">+R107+1</f>
        <v>2033</v>
      </c>
      <c r="T107" s="69">
        <f t="shared" ref="T107" si="188">+S107+1</f>
        <v>2034</v>
      </c>
      <c r="U107" s="69">
        <f t="shared" ref="U107" si="189">+T107+1</f>
        <v>2035</v>
      </c>
      <c r="V107" s="69">
        <f t="shared" ref="V107" si="190">+U107+1</f>
        <v>2036</v>
      </c>
      <c r="W107" s="69">
        <f t="shared" ref="W107" si="191">+V107+1</f>
        <v>2037</v>
      </c>
      <c r="X107" s="69">
        <f t="shared" ref="X107" si="192">+W107+1</f>
        <v>2038</v>
      </c>
      <c r="Y107" s="69">
        <f t="shared" ref="Y107" si="193">+X107+1</f>
        <v>2039</v>
      </c>
      <c r="Z107" s="69">
        <f t="shared" ref="Z107" si="194">+Y107+1</f>
        <v>2040</v>
      </c>
      <c r="AA107" s="69">
        <f t="shared" ref="AA107" si="195">+Z107+1</f>
        <v>2041</v>
      </c>
      <c r="AB107" s="69">
        <f t="shared" ref="AB107" si="196">+AA107+1</f>
        <v>2042</v>
      </c>
      <c r="AC107" s="69">
        <f t="shared" ref="AC107" si="197">+AB107+1</f>
        <v>2043</v>
      </c>
      <c r="AD107" s="69">
        <f t="shared" ref="AD107" si="198">+AC107+1</f>
        <v>2044</v>
      </c>
      <c r="AE107" s="69">
        <f t="shared" ref="AE107" si="199">+AD107+1</f>
        <v>2045</v>
      </c>
      <c r="AF107" s="218"/>
      <c r="AG107" s="218"/>
      <c r="AH107" s="218"/>
      <c r="AI107" s="218"/>
    </row>
    <row r="108" spans="1:35" s="56" customFormat="1" x14ac:dyDescent="0.2">
      <c r="A108" s="110"/>
      <c r="B108" s="9">
        <v>0</v>
      </c>
      <c r="C108" s="153" t="str">
        <f>'I1 General Inputs'!$C$14</f>
        <v>Base case</v>
      </c>
      <c r="D108" s="72"/>
      <c r="E108" s="77" t="s">
        <v>35</v>
      </c>
      <c r="F108" s="164">
        <v>0</v>
      </c>
      <c r="G108" s="164">
        <v>36.986598434645067</v>
      </c>
      <c r="H108" s="164">
        <v>1.2220402955575556</v>
      </c>
      <c r="I108" s="164">
        <v>77388557.306153432</v>
      </c>
      <c r="J108" s="164">
        <v>34807923.43172989</v>
      </c>
      <c r="K108" s="164">
        <v>332677419.08508587</v>
      </c>
      <c r="L108" s="164">
        <v>38912160.540867999</v>
      </c>
      <c r="M108" s="164">
        <v>138156099.4918932</v>
      </c>
      <c r="N108" s="164">
        <v>557620154.23565698</v>
      </c>
      <c r="O108" s="164">
        <v>458517178.66737008</v>
      </c>
      <c r="P108" s="164">
        <v>230960784.28633133</v>
      </c>
      <c r="Q108" s="164">
        <v>350291428.73877722</v>
      </c>
      <c r="R108" s="164">
        <v>538516212.53557122</v>
      </c>
      <c r="S108" s="164">
        <v>377667115.15204549</v>
      </c>
      <c r="T108" s="164">
        <v>25058653.20381945</v>
      </c>
      <c r="U108" s="164">
        <v>38.610169995618307</v>
      </c>
      <c r="V108" s="164">
        <v>1164811277.747725</v>
      </c>
      <c r="W108" s="164">
        <v>528802117.72697526</v>
      </c>
      <c r="X108" s="164">
        <v>226046776.78889638</v>
      </c>
      <c r="Y108" s="164">
        <v>88414166.237481445</v>
      </c>
      <c r="Z108" s="164">
        <v>740971916.46700883</v>
      </c>
      <c r="AA108" s="164">
        <v>727848348.82884562</v>
      </c>
      <c r="AB108" s="164">
        <v>187749317.92806315</v>
      </c>
      <c r="AC108" s="164">
        <v>0</v>
      </c>
      <c r="AD108" s="164">
        <v>713836238.2001518</v>
      </c>
      <c r="AE108" s="164">
        <v>136834338.22148722</v>
      </c>
      <c r="AF108" s="219"/>
      <c r="AG108" s="219"/>
      <c r="AH108" s="219"/>
      <c r="AI108" s="219"/>
    </row>
    <row r="109" spans="1:35" s="56" customFormat="1" x14ac:dyDescent="0.2">
      <c r="A109" s="110"/>
      <c r="B109" s="9">
        <v>1</v>
      </c>
      <c r="C109" s="152" t="str">
        <f>'I1 General Inputs'!$C$15</f>
        <v>Option 1A</v>
      </c>
      <c r="D109" s="72"/>
      <c r="E109" s="77" t="s">
        <v>35</v>
      </c>
      <c r="F109" s="164">
        <v>0</v>
      </c>
      <c r="G109" s="164">
        <v>12.337259324138707</v>
      </c>
      <c r="H109" s="164">
        <v>0.28490448504690596</v>
      </c>
      <c r="I109" s="164">
        <v>91099482.072389111</v>
      </c>
      <c r="J109" s="164">
        <v>12053688.914675856</v>
      </c>
      <c r="K109" s="164">
        <v>322863131.64783955</v>
      </c>
      <c r="L109" s="164">
        <v>8777911.5979114491</v>
      </c>
      <c r="M109" s="164">
        <v>139112017.50508997</v>
      </c>
      <c r="N109" s="164">
        <v>568057163.94699311</v>
      </c>
      <c r="O109" s="164">
        <v>444529361.43373668</v>
      </c>
      <c r="P109" s="164">
        <v>240921144.49952611</v>
      </c>
      <c r="Q109" s="164">
        <v>346933362.3433429</v>
      </c>
      <c r="R109" s="164">
        <v>530020548.44759315</v>
      </c>
      <c r="S109" s="164">
        <v>366156705.60594583</v>
      </c>
      <c r="T109" s="164">
        <v>33763562.107107453</v>
      </c>
      <c r="U109" s="164">
        <v>6.5231519065502575</v>
      </c>
      <c r="V109" s="164">
        <v>1176338711.2946422</v>
      </c>
      <c r="W109" s="164">
        <v>540475210.52424526</v>
      </c>
      <c r="X109" s="164">
        <v>230482288.04850337</v>
      </c>
      <c r="Y109" s="164">
        <v>95882916.857392132</v>
      </c>
      <c r="Z109" s="164">
        <v>725197605.34935606</v>
      </c>
      <c r="AA109" s="164">
        <v>716469398.20424628</v>
      </c>
      <c r="AB109" s="164">
        <v>200979930.13829803</v>
      </c>
      <c r="AC109" s="164">
        <v>0</v>
      </c>
      <c r="AD109" s="164">
        <v>683573147.68452144</v>
      </c>
      <c r="AE109" s="164">
        <v>142037351.40469283</v>
      </c>
      <c r="AF109" s="219"/>
      <c r="AG109" s="219"/>
      <c r="AH109" s="219"/>
      <c r="AI109" s="219"/>
    </row>
    <row r="110" spans="1:35" s="56" customFormat="1" x14ac:dyDescent="0.2">
      <c r="A110" s="110"/>
      <c r="B110" s="9">
        <v>2</v>
      </c>
      <c r="C110" s="152" t="str">
        <f>'I1 General Inputs'!$C$16</f>
        <v>Option 1B</v>
      </c>
      <c r="D110" s="72"/>
      <c r="E110" s="77" t="s">
        <v>35</v>
      </c>
      <c r="F110" s="164">
        <v>0</v>
      </c>
      <c r="G110" s="164">
        <v>48.59138875181339</v>
      </c>
      <c r="H110" s="164">
        <v>1.6087386835376007</v>
      </c>
      <c r="I110" s="164">
        <v>76495582.730504721</v>
      </c>
      <c r="J110" s="164">
        <v>12.973612468059322</v>
      </c>
      <c r="K110" s="164">
        <v>353770730.77508247</v>
      </c>
      <c r="L110" s="164">
        <v>16276150.648728</v>
      </c>
      <c r="M110" s="164">
        <v>138724757.71761167</v>
      </c>
      <c r="N110" s="164">
        <v>566085395.46723008</v>
      </c>
      <c r="O110" s="164">
        <v>439027917.33251256</v>
      </c>
      <c r="P110" s="164">
        <v>252270323.03280264</v>
      </c>
      <c r="Q110" s="164">
        <v>351863885.50999242</v>
      </c>
      <c r="R110" s="164">
        <v>522820395.13405067</v>
      </c>
      <c r="S110" s="164">
        <v>372516511.76109427</v>
      </c>
      <c r="T110" s="164">
        <v>37400001.056549102</v>
      </c>
      <c r="U110" s="164">
        <v>52.16833064171248</v>
      </c>
      <c r="V110" s="164">
        <v>1160293183.7767525</v>
      </c>
      <c r="W110" s="164">
        <v>542129597.58982098</v>
      </c>
      <c r="X110" s="164">
        <v>215634611.97744066</v>
      </c>
      <c r="Y110" s="164">
        <v>95571167.697047368</v>
      </c>
      <c r="Z110" s="164">
        <v>739011141.21492541</v>
      </c>
      <c r="AA110" s="164">
        <v>706721813.0441606</v>
      </c>
      <c r="AB110" s="164">
        <v>200769184.94227123</v>
      </c>
      <c r="AC110" s="164">
        <v>0</v>
      </c>
      <c r="AD110" s="164">
        <v>694172347.5448823</v>
      </c>
      <c r="AE110" s="164">
        <v>140133253.17901072</v>
      </c>
      <c r="AF110" s="219"/>
      <c r="AG110" s="219"/>
      <c r="AH110" s="219"/>
      <c r="AI110" s="219"/>
    </row>
    <row r="111" spans="1:35" s="56" customFormat="1" x14ac:dyDescent="0.2">
      <c r="A111" s="110"/>
      <c r="B111" s="9">
        <v>3</v>
      </c>
      <c r="C111" s="152" t="str">
        <f>'I1 General Inputs'!$C$17</f>
        <v>Option 1C</v>
      </c>
      <c r="D111" s="72"/>
      <c r="E111" s="77" t="s">
        <v>35</v>
      </c>
      <c r="F111" s="164">
        <v>0</v>
      </c>
      <c r="G111" s="164">
        <v>10.395360370361059</v>
      </c>
      <c r="H111" s="164">
        <v>0.21351671684400511</v>
      </c>
      <c r="I111" s="164">
        <v>119131390.7639288</v>
      </c>
      <c r="J111" s="164">
        <v>7836462.9446679493</v>
      </c>
      <c r="K111" s="164">
        <v>313576993.50756454</v>
      </c>
      <c r="L111" s="164">
        <v>44416537.765190966</v>
      </c>
      <c r="M111" s="164">
        <v>138100897.52175578</v>
      </c>
      <c r="N111" s="164">
        <v>554230688.33266246</v>
      </c>
      <c r="O111" s="164">
        <v>464575130.14927864</v>
      </c>
      <c r="P111" s="164">
        <v>226024937.09757221</v>
      </c>
      <c r="Q111" s="164">
        <v>352257912.16771978</v>
      </c>
      <c r="R111" s="164">
        <v>553022101.66834259</v>
      </c>
      <c r="S111" s="164">
        <v>372604294.76373339</v>
      </c>
      <c r="T111" s="164">
        <v>18814993.839190412</v>
      </c>
      <c r="U111" s="164">
        <v>5.841081888943525</v>
      </c>
      <c r="V111" s="164">
        <v>1178613769.2198949</v>
      </c>
      <c r="W111" s="164">
        <v>527732586.54260099</v>
      </c>
      <c r="X111" s="164">
        <v>215954816.94418502</v>
      </c>
      <c r="Y111" s="164">
        <v>89939352.296612576</v>
      </c>
      <c r="Z111" s="164">
        <v>742074933.39356339</v>
      </c>
      <c r="AA111" s="164">
        <v>733176379.42147517</v>
      </c>
      <c r="AB111" s="164">
        <v>184169821.50249219</v>
      </c>
      <c r="AC111" s="164">
        <v>0</v>
      </c>
      <c r="AD111" s="164">
        <v>714447537.94070792</v>
      </c>
      <c r="AE111" s="164">
        <v>137688906.4966965</v>
      </c>
      <c r="AF111" s="219"/>
      <c r="AG111" s="219"/>
      <c r="AH111" s="219"/>
      <c r="AI111" s="219"/>
    </row>
    <row r="112" spans="1:35" s="56" customFormat="1" x14ac:dyDescent="0.2">
      <c r="A112" s="110"/>
      <c r="B112" s="9">
        <v>4</v>
      </c>
      <c r="C112" s="152" t="str">
        <f>'I1 General Inputs'!$C$18</f>
        <v>Option 1D</v>
      </c>
      <c r="D112" s="72"/>
      <c r="E112" s="77" t="s">
        <v>35</v>
      </c>
      <c r="F112" s="164">
        <v>0</v>
      </c>
      <c r="G112" s="164">
        <v>33.796937758189287</v>
      </c>
      <c r="H112" s="164">
        <v>1.0135502366073066</v>
      </c>
      <c r="I112" s="164">
        <v>103477913.61108299</v>
      </c>
      <c r="J112" s="164">
        <v>20103082.011931978</v>
      </c>
      <c r="K112" s="164">
        <v>316432177.70646185</v>
      </c>
      <c r="L112" s="164">
        <v>44138653.60588064</v>
      </c>
      <c r="M112" s="164">
        <v>136899083.20367014</v>
      </c>
      <c r="N112" s="164">
        <v>559541271.78941965</v>
      </c>
      <c r="O112" s="164">
        <v>458401017.98157859</v>
      </c>
      <c r="P112" s="164">
        <v>226603317.04760626</v>
      </c>
      <c r="Q112" s="164">
        <v>354426825.4129957</v>
      </c>
      <c r="R112" s="164">
        <v>543970846.97795331</v>
      </c>
      <c r="S112" s="164">
        <v>367304378.15534639</v>
      </c>
      <c r="T112" s="164">
        <v>24223405.793964222</v>
      </c>
      <c r="U112" s="164">
        <v>30.676694534484231</v>
      </c>
      <c r="V112" s="164">
        <v>1183893658.6487474</v>
      </c>
      <c r="W112" s="164">
        <v>534281908.04129779</v>
      </c>
      <c r="X112" s="164">
        <v>214250451.01723209</v>
      </c>
      <c r="Y112" s="164">
        <v>89965797.429902062</v>
      </c>
      <c r="Z112" s="164">
        <v>742423463.14847291</v>
      </c>
      <c r="AA112" s="164">
        <v>728009355.8399806</v>
      </c>
      <c r="AB112" s="164">
        <v>182615316.61907977</v>
      </c>
      <c r="AC112" s="164">
        <v>0</v>
      </c>
      <c r="AD112" s="164">
        <v>713759288.90088212</v>
      </c>
      <c r="AE112" s="164">
        <v>137137059.88390559</v>
      </c>
      <c r="AF112" s="219"/>
      <c r="AG112" s="219"/>
      <c r="AH112" s="219"/>
      <c r="AI112" s="219"/>
    </row>
    <row r="113" spans="1:35" s="56" customFormat="1" x14ac:dyDescent="0.2">
      <c r="A113" s="110"/>
      <c r="B113" s="9">
        <v>5</v>
      </c>
      <c r="C113" s="152" t="str">
        <f>'I1 General Inputs'!$C$19</f>
        <v>Option 5A</v>
      </c>
      <c r="D113" s="72"/>
      <c r="E113" s="77" t="s">
        <v>35</v>
      </c>
      <c r="F113" s="164">
        <v>0</v>
      </c>
      <c r="G113" s="164">
        <f>G108-(G108-G114)*$L$15</f>
        <v>36.986598434645067</v>
      </c>
      <c r="H113" s="164">
        <f t="shared" ref="H113:AE113" si="200">H108-(H108-H114)*$L$15</f>
        <v>1.2220402955575556</v>
      </c>
      <c r="I113" s="164">
        <f t="shared" si="200"/>
        <v>77388557.306153432</v>
      </c>
      <c r="J113" s="164">
        <f t="shared" si="200"/>
        <v>34807923.43172989</v>
      </c>
      <c r="K113" s="164">
        <f t="shared" si="200"/>
        <v>332677419.08508587</v>
      </c>
      <c r="L113" s="164">
        <f t="shared" si="200"/>
        <v>38912160.540867999</v>
      </c>
      <c r="M113" s="164">
        <f t="shared" si="200"/>
        <v>138156099.4918932</v>
      </c>
      <c r="N113" s="164">
        <f t="shared" si="200"/>
        <v>557620154.23565698</v>
      </c>
      <c r="O113" s="164">
        <f t="shared" si="200"/>
        <v>458517178.66737008</v>
      </c>
      <c r="P113" s="164">
        <f t="shared" si="200"/>
        <v>230960784.28633133</v>
      </c>
      <c r="Q113" s="164">
        <f t="shared" si="200"/>
        <v>350291428.73877722</v>
      </c>
      <c r="R113" s="164">
        <f t="shared" si="200"/>
        <v>538516212.53557122</v>
      </c>
      <c r="S113" s="164">
        <f t="shared" si="200"/>
        <v>377667115.15204549</v>
      </c>
      <c r="T113" s="164">
        <f t="shared" si="200"/>
        <v>25058653.20381945</v>
      </c>
      <c r="U113" s="164">
        <f t="shared" si="200"/>
        <v>38.610169995618307</v>
      </c>
      <c r="V113" s="164">
        <f t="shared" si="200"/>
        <v>1164811277.747725</v>
      </c>
      <c r="W113" s="164">
        <f t="shared" si="200"/>
        <v>528802117.72697526</v>
      </c>
      <c r="X113" s="164">
        <f t="shared" si="200"/>
        <v>226046776.78889638</v>
      </c>
      <c r="Y113" s="164">
        <f t="shared" si="200"/>
        <v>88414166.237481445</v>
      </c>
      <c r="Z113" s="164">
        <f t="shared" si="200"/>
        <v>740971916.46700883</v>
      </c>
      <c r="AA113" s="164">
        <f t="shared" si="200"/>
        <v>727848348.82884562</v>
      </c>
      <c r="AB113" s="164">
        <f t="shared" si="200"/>
        <v>187749317.92806315</v>
      </c>
      <c r="AC113" s="164">
        <f t="shared" si="200"/>
        <v>0</v>
      </c>
      <c r="AD113" s="164">
        <f t="shared" si="200"/>
        <v>713836238.2001518</v>
      </c>
      <c r="AE113" s="164">
        <f t="shared" si="200"/>
        <v>136834338.22148722</v>
      </c>
      <c r="AF113" s="219"/>
      <c r="AG113" s="219"/>
      <c r="AH113" s="219"/>
      <c r="AI113" s="219"/>
    </row>
    <row r="114" spans="1:35" s="56" customFormat="1" x14ac:dyDescent="0.2">
      <c r="A114" s="110"/>
      <c r="B114" s="9">
        <v>6</v>
      </c>
      <c r="C114" s="152" t="str">
        <f>'I1 General Inputs'!$C$20</f>
        <v>Option 5B</v>
      </c>
      <c r="D114" s="72"/>
      <c r="E114" s="77" t="s">
        <v>35</v>
      </c>
      <c r="F114" s="164">
        <v>0</v>
      </c>
      <c r="G114" s="164">
        <v>17.130952267053679</v>
      </c>
      <c r="H114" s="164">
        <v>0.50063990161843064</v>
      </c>
      <c r="I114" s="164">
        <v>79283795.352273509</v>
      </c>
      <c r="J114" s="164">
        <v>4662244.1435944047</v>
      </c>
      <c r="K114" s="164">
        <v>338764417.79411268</v>
      </c>
      <c r="L114" s="164">
        <v>5352885.6198787009</v>
      </c>
      <c r="M114" s="164">
        <v>138540707.84425399</v>
      </c>
      <c r="N114" s="164">
        <v>563842788.52353525</v>
      </c>
      <c r="O114" s="164">
        <v>436949839.05697334</v>
      </c>
      <c r="P114" s="164">
        <v>233013377.30519733</v>
      </c>
      <c r="Q114" s="164">
        <v>360707590.04013854</v>
      </c>
      <c r="R114" s="164">
        <v>526173730.46315348</v>
      </c>
      <c r="S114" s="164">
        <v>370346861.37760019</v>
      </c>
      <c r="T114" s="164">
        <v>37517042.932036147</v>
      </c>
      <c r="U114" s="164">
        <v>13.439396954396408</v>
      </c>
      <c r="V114" s="164">
        <v>1196118311.4599962</v>
      </c>
      <c r="W114" s="164">
        <v>529641103.71821678</v>
      </c>
      <c r="X114" s="164">
        <v>221450838.88327563</v>
      </c>
      <c r="Y114" s="164">
        <v>93797034.120096564</v>
      </c>
      <c r="Z114" s="164">
        <v>733863710.04350519</v>
      </c>
      <c r="AA114" s="164">
        <v>717910273.40086675</v>
      </c>
      <c r="AB114" s="164">
        <v>195159794.43453634</v>
      </c>
      <c r="AC114" s="164">
        <v>0</v>
      </c>
      <c r="AD114" s="164">
        <v>690188004.17340922</v>
      </c>
      <c r="AE114" s="164">
        <v>135978406.33319709</v>
      </c>
      <c r="AF114" s="219"/>
      <c r="AG114" s="219"/>
      <c r="AH114" s="219"/>
      <c r="AI114" s="219"/>
    </row>
    <row r="115" spans="1:35" s="56" customFormat="1" x14ac:dyDescent="0.2">
      <c r="A115" s="110"/>
      <c r="B115" s="74"/>
      <c r="C115" s="90"/>
      <c r="D115" s="90"/>
      <c r="E115" s="91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</row>
    <row r="116" spans="1:35" ht="15.75" x14ac:dyDescent="0.25">
      <c r="B116" s="68" t="s">
        <v>27</v>
      </c>
      <c r="C116" s="68"/>
      <c r="D116" s="68"/>
      <c r="E116" s="142" t="s">
        <v>28</v>
      </c>
      <c r="F116" s="143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145"/>
      <c r="AG116" s="145"/>
      <c r="AH116" s="145"/>
      <c r="AI116" s="145"/>
    </row>
    <row r="117" spans="1:35" s="56" customFormat="1" ht="15.75" x14ac:dyDescent="0.25">
      <c r="A117" s="110"/>
      <c r="B117" s="145"/>
      <c r="C117" s="145"/>
      <c r="D117" s="145"/>
      <c r="E117" s="146"/>
      <c r="F117" s="147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</row>
    <row r="118" spans="1:35" ht="15.75" x14ac:dyDescent="0.25">
      <c r="B118" s="69" t="s">
        <v>14</v>
      </c>
      <c r="C118" s="69" t="s">
        <v>13</v>
      </c>
      <c r="D118" s="94" t="s">
        <v>115</v>
      </c>
      <c r="E118" s="73" t="s">
        <v>7</v>
      </c>
      <c r="F118" s="69">
        <f>FirstYear</f>
        <v>2020</v>
      </c>
      <c r="G118" s="69">
        <f>+F118+1</f>
        <v>2021</v>
      </c>
      <c r="H118" s="69">
        <f t="shared" ref="H118" si="201">+G118+1</f>
        <v>2022</v>
      </c>
      <c r="I118" s="69">
        <f t="shared" ref="I118" si="202">+H118+1</f>
        <v>2023</v>
      </c>
      <c r="J118" s="69">
        <f t="shared" ref="J118" si="203">+I118+1</f>
        <v>2024</v>
      </c>
      <c r="K118" s="69">
        <f t="shared" ref="K118" si="204">+J118+1</f>
        <v>2025</v>
      </c>
      <c r="L118" s="69">
        <f t="shared" ref="L118" si="205">+K118+1</f>
        <v>2026</v>
      </c>
      <c r="M118" s="69">
        <f t="shared" ref="M118" si="206">+L118+1</f>
        <v>2027</v>
      </c>
      <c r="N118" s="69">
        <f t="shared" ref="N118" si="207">+M118+1</f>
        <v>2028</v>
      </c>
      <c r="O118" s="69">
        <f t="shared" ref="O118" si="208">+N118+1</f>
        <v>2029</v>
      </c>
      <c r="P118" s="69">
        <f t="shared" ref="P118" si="209">+O118+1</f>
        <v>2030</v>
      </c>
      <c r="Q118" s="69">
        <f t="shared" ref="Q118" si="210">+P118+1</f>
        <v>2031</v>
      </c>
      <c r="R118" s="69">
        <f t="shared" ref="R118" si="211">+Q118+1</f>
        <v>2032</v>
      </c>
      <c r="S118" s="69">
        <f t="shared" ref="S118" si="212">+R118+1</f>
        <v>2033</v>
      </c>
      <c r="T118" s="69">
        <f t="shared" ref="T118" si="213">+S118+1</f>
        <v>2034</v>
      </c>
      <c r="U118" s="69">
        <f t="shared" ref="U118" si="214">+T118+1</f>
        <v>2035</v>
      </c>
      <c r="V118" s="69">
        <f t="shared" ref="V118" si="215">+U118+1</f>
        <v>2036</v>
      </c>
      <c r="W118" s="69">
        <f t="shared" ref="W118" si="216">+V118+1</f>
        <v>2037</v>
      </c>
      <c r="X118" s="69">
        <f t="shared" ref="X118" si="217">+W118+1</f>
        <v>2038</v>
      </c>
      <c r="Y118" s="69">
        <f t="shared" ref="Y118" si="218">+X118+1</f>
        <v>2039</v>
      </c>
      <c r="Z118" s="69">
        <f t="shared" ref="Z118" si="219">+Y118+1</f>
        <v>2040</v>
      </c>
      <c r="AA118" s="69">
        <f t="shared" ref="AA118" si="220">+Z118+1</f>
        <v>2041</v>
      </c>
      <c r="AB118" s="69">
        <f t="shared" ref="AB118" si="221">+AA118+1</f>
        <v>2042</v>
      </c>
      <c r="AC118" s="69">
        <f t="shared" ref="AC118" si="222">+AB118+1</f>
        <v>2043</v>
      </c>
      <c r="AD118" s="69">
        <f t="shared" ref="AD118" si="223">+AC118+1</f>
        <v>2044</v>
      </c>
      <c r="AE118" s="69">
        <f t="shared" ref="AE118" si="224">+AD118+1</f>
        <v>2045</v>
      </c>
      <c r="AF118" s="218"/>
      <c r="AG118" s="218"/>
      <c r="AH118" s="218"/>
      <c r="AI118" s="218"/>
    </row>
    <row r="119" spans="1:35" x14ac:dyDescent="0.2">
      <c r="B119" s="9">
        <v>0</v>
      </c>
      <c r="C119" s="153" t="str">
        <f>'I1 General Inputs'!$C$14</f>
        <v>Base case</v>
      </c>
      <c r="D119" s="72"/>
      <c r="E119" s="77" t="s">
        <v>35</v>
      </c>
      <c r="F119" s="164">
        <v>0</v>
      </c>
      <c r="G119" s="164">
        <v>2639147212.0935965</v>
      </c>
      <c r="H119" s="164">
        <v>2500912907.3342485</v>
      </c>
      <c r="I119" s="164">
        <v>2475464521.5917916</v>
      </c>
      <c r="J119" s="164">
        <v>2542892873.4946446</v>
      </c>
      <c r="K119" s="164">
        <v>2693047281.1818156</v>
      </c>
      <c r="L119" s="164">
        <v>2698371020.8304753</v>
      </c>
      <c r="M119" s="164">
        <v>2622865999.8173609</v>
      </c>
      <c r="N119" s="164">
        <v>2851536964.4273019</v>
      </c>
      <c r="O119" s="164">
        <v>2666381834.913022</v>
      </c>
      <c r="P119" s="164">
        <v>2507311436.9292469</v>
      </c>
      <c r="Q119" s="164">
        <v>2487509443.5500922</v>
      </c>
      <c r="R119" s="164">
        <v>2294857644.4654069</v>
      </c>
      <c r="S119" s="164">
        <v>2438898622.3381686</v>
      </c>
      <c r="T119" s="164">
        <v>2407341377.0338793</v>
      </c>
      <c r="U119" s="164">
        <v>2149966382.3758912</v>
      </c>
      <c r="V119" s="164">
        <v>2297490234.7590051</v>
      </c>
      <c r="W119" s="164">
        <v>2499884848.6301961</v>
      </c>
      <c r="X119" s="164">
        <v>2542059903.5335889</v>
      </c>
      <c r="Y119" s="164">
        <v>2479856905.4769545</v>
      </c>
      <c r="Z119" s="164">
        <v>2390502866.5387282</v>
      </c>
      <c r="AA119" s="164">
        <v>2462009883.8591928</v>
      </c>
      <c r="AB119" s="164">
        <v>2558260192.3916287</v>
      </c>
      <c r="AC119" s="164">
        <v>2143887960.7097979</v>
      </c>
      <c r="AD119" s="164">
        <v>3272834026.744678</v>
      </c>
      <c r="AE119" s="164">
        <v>3170635070.1415758</v>
      </c>
      <c r="AF119" s="219"/>
      <c r="AG119" s="219"/>
      <c r="AH119" s="219"/>
      <c r="AI119" s="219"/>
    </row>
    <row r="120" spans="1:35" x14ac:dyDescent="0.2">
      <c r="B120" s="9">
        <v>1</v>
      </c>
      <c r="C120" s="152" t="str">
        <f>'I1 General Inputs'!$C$15</f>
        <v>Option 1A</v>
      </c>
      <c r="D120" s="72"/>
      <c r="E120" s="77" t="s">
        <v>35</v>
      </c>
      <c r="F120" s="164">
        <v>0</v>
      </c>
      <c r="G120" s="164">
        <v>2639147232.3580627</v>
      </c>
      <c r="H120" s="164">
        <v>2500874907.2459016</v>
      </c>
      <c r="I120" s="164">
        <v>2469853403.0982633</v>
      </c>
      <c r="J120" s="164">
        <v>2536628418.1565571</v>
      </c>
      <c r="K120" s="164">
        <v>2686284571.8239369</v>
      </c>
      <c r="L120" s="164">
        <v>2688217785.509644</v>
      </c>
      <c r="M120" s="164">
        <v>2615428238.4118338</v>
      </c>
      <c r="N120" s="164">
        <v>2842674936.5827079</v>
      </c>
      <c r="O120" s="164">
        <v>2670545286.0725799</v>
      </c>
      <c r="P120" s="164">
        <v>2518245706.8046737</v>
      </c>
      <c r="Q120" s="164">
        <v>2500734181.0754166</v>
      </c>
      <c r="R120" s="164">
        <v>2303813834.3666515</v>
      </c>
      <c r="S120" s="164">
        <v>2426823866.6529808</v>
      </c>
      <c r="T120" s="164">
        <v>2405263148.6029377</v>
      </c>
      <c r="U120" s="164">
        <v>2168886391.8295951</v>
      </c>
      <c r="V120" s="164">
        <v>2309258160.3272657</v>
      </c>
      <c r="W120" s="164">
        <v>2481270112.3490906</v>
      </c>
      <c r="X120" s="164">
        <v>2528266722.3340921</v>
      </c>
      <c r="Y120" s="164">
        <v>2472450630.9489422</v>
      </c>
      <c r="Z120" s="164">
        <v>2378414917.3041902</v>
      </c>
      <c r="AA120" s="164">
        <v>2435052807.52701</v>
      </c>
      <c r="AB120" s="164">
        <v>2546283603.9503951</v>
      </c>
      <c r="AC120" s="164">
        <v>2150117982.6221161</v>
      </c>
      <c r="AD120" s="164">
        <v>3219792668.2400918</v>
      </c>
      <c r="AE120" s="164">
        <v>3126144203.4628215</v>
      </c>
      <c r="AF120" s="219"/>
      <c r="AG120" s="219"/>
      <c r="AH120" s="219"/>
      <c r="AI120" s="219"/>
    </row>
    <row r="121" spans="1:35" x14ac:dyDescent="0.2">
      <c r="B121" s="9">
        <v>2</v>
      </c>
      <c r="C121" s="152" t="str">
        <f>'I1 General Inputs'!$C$16</f>
        <v>Option 1B</v>
      </c>
      <c r="D121" s="72"/>
      <c r="E121" s="77" t="s">
        <v>35</v>
      </c>
      <c r="F121" s="164">
        <v>0</v>
      </c>
      <c r="G121" s="164">
        <v>2639147254.7490492</v>
      </c>
      <c r="H121" s="164">
        <v>2500880250.3178606</v>
      </c>
      <c r="I121" s="164">
        <v>2470061101.7577972</v>
      </c>
      <c r="J121" s="164">
        <v>2536171001.7729621</v>
      </c>
      <c r="K121" s="164">
        <v>2685721474.908155</v>
      </c>
      <c r="L121" s="164">
        <v>2688138801.5572729</v>
      </c>
      <c r="M121" s="164">
        <v>2614135765.1680436</v>
      </c>
      <c r="N121" s="164">
        <v>2842752821.063467</v>
      </c>
      <c r="O121" s="164">
        <v>2667660539.5034747</v>
      </c>
      <c r="P121" s="164">
        <v>2510852191.0928154</v>
      </c>
      <c r="Q121" s="164">
        <v>2492206496.361166</v>
      </c>
      <c r="R121" s="164">
        <v>2293111728.260581</v>
      </c>
      <c r="S121" s="164">
        <v>2414679166.3945293</v>
      </c>
      <c r="T121" s="164">
        <v>2405439347.1255426</v>
      </c>
      <c r="U121" s="164">
        <v>2151344109.6711254</v>
      </c>
      <c r="V121" s="164">
        <v>2295346625.77104</v>
      </c>
      <c r="W121" s="164">
        <v>2486496648.7616596</v>
      </c>
      <c r="X121" s="164">
        <v>2528480815.0737519</v>
      </c>
      <c r="Y121" s="164">
        <v>2472022840.7571049</v>
      </c>
      <c r="Z121" s="164">
        <v>2373954781.3082137</v>
      </c>
      <c r="AA121" s="164">
        <v>2444424600.3026037</v>
      </c>
      <c r="AB121" s="164">
        <v>2547715542.6429343</v>
      </c>
      <c r="AC121" s="164">
        <v>2135562563.4802723</v>
      </c>
      <c r="AD121" s="164">
        <v>3223961484.2291775</v>
      </c>
      <c r="AE121" s="164">
        <v>3130785875.2584</v>
      </c>
      <c r="AF121" s="219"/>
      <c r="AG121" s="219"/>
      <c r="AH121" s="219"/>
      <c r="AI121" s="219"/>
    </row>
    <row r="122" spans="1:35" x14ac:dyDescent="0.2">
      <c r="B122" s="9">
        <v>3</v>
      </c>
      <c r="C122" s="152" t="str">
        <f>'I1 General Inputs'!$C$17</f>
        <v>Option 1C</v>
      </c>
      <c r="D122" s="72"/>
      <c r="E122" s="77" t="s">
        <v>35</v>
      </c>
      <c r="F122" s="164">
        <v>0</v>
      </c>
      <c r="G122" s="164">
        <v>2639147233.1678629</v>
      </c>
      <c r="H122" s="164">
        <v>2500898481.2229352</v>
      </c>
      <c r="I122" s="164">
        <v>2475291511.7058468</v>
      </c>
      <c r="J122" s="164">
        <v>2543006725.3667278</v>
      </c>
      <c r="K122" s="164">
        <v>2693352740.7507992</v>
      </c>
      <c r="L122" s="164">
        <v>2698041951.5294533</v>
      </c>
      <c r="M122" s="164">
        <v>2624336896.798552</v>
      </c>
      <c r="N122" s="164">
        <v>2851460518.135849</v>
      </c>
      <c r="O122" s="164">
        <v>2669252542.1149497</v>
      </c>
      <c r="P122" s="164">
        <v>2508833054.9744239</v>
      </c>
      <c r="Q122" s="164">
        <v>2490074435.552608</v>
      </c>
      <c r="R122" s="164">
        <v>2304770746.5286317</v>
      </c>
      <c r="S122" s="164">
        <v>2445426600.8397827</v>
      </c>
      <c r="T122" s="164">
        <v>2403890340.9068642</v>
      </c>
      <c r="U122" s="164">
        <v>2166943400.8680277</v>
      </c>
      <c r="V122" s="164">
        <v>2314520536.5095005</v>
      </c>
      <c r="W122" s="164">
        <v>2495788902.3449535</v>
      </c>
      <c r="X122" s="164">
        <v>2540012818.4965377</v>
      </c>
      <c r="Y122" s="164">
        <v>2477548708.5562873</v>
      </c>
      <c r="Z122" s="164">
        <v>2406238896.4685798</v>
      </c>
      <c r="AA122" s="164">
        <v>2454201600.3041129</v>
      </c>
      <c r="AB122" s="164">
        <v>2557306995.9985104</v>
      </c>
      <c r="AC122" s="164">
        <v>2150059902.7313657</v>
      </c>
      <c r="AD122" s="164">
        <v>3262679980.0649228</v>
      </c>
      <c r="AE122" s="164">
        <v>3159266656.0472469</v>
      </c>
      <c r="AF122" s="219"/>
      <c r="AG122" s="219"/>
      <c r="AH122" s="219"/>
      <c r="AI122" s="219"/>
    </row>
    <row r="123" spans="1:35" x14ac:dyDescent="0.2">
      <c r="B123" s="9">
        <v>4</v>
      </c>
      <c r="C123" s="152" t="str">
        <f>'I1 General Inputs'!$C$18</f>
        <v>Option 1D</v>
      </c>
      <c r="D123" s="72"/>
      <c r="E123" s="77" t="s">
        <v>35</v>
      </c>
      <c r="F123" s="164">
        <v>0</v>
      </c>
      <c r="G123" s="164">
        <v>2639147224.1000242</v>
      </c>
      <c r="H123" s="164">
        <v>2500901021.9717607</v>
      </c>
      <c r="I123" s="164">
        <v>2475387130.825531</v>
      </c>
      <c r="J123" s="164">
        <v>2543195468.4109845</v>
      </c>
      <c r="K123" s="164">
        <v>2693617446.7179818</v>
      </c>
      <c r="L123" s="164">
        <v>2698449206.6766763</v>
      </c>
      <c r="M123" s="164">
        <v>2624232855.6606193</v>
      </c>
      <c r="N123" s="164">
        <v>2851665101.7039728</v>
      </c>
      <c r="O123" s="164">
        <v>2669404270.375464</v>
      </c>
      <c r="P123" s="164">
        <v>2507362382.219542</v>
      </c>
      <c r="Q123" s="164">
        <v>2488666318.6941123</v>
      </c>
      <c r="R123" s="164">
        <v>2298595530.59057</v>
      </c>
      <c r="S123" s="164">
        <v>2442136579.9301043</v>
      </c>
      <c r="T123" s="164">
        <v>2406936082.6083221</v>
      </c>
      <c r="U123" s="164">
        <v>2152496471.5839362</v>
      </c>
      <c r="V123" s="164">
        <v>2305679514.535099</v>
      </c>
      <c r="W123" s="164">
        <v>2496083158.623477</v>
      </c>
      <c r="X123" s="164">
        <v>2540811647.4610476</v>
      </c>
      <c r="Y123" s="164">
        <v>2478805682.089951</v>
      </c>
      <c r="Z123" s="164">
        <v>2398047898.0919805</v>
      </c>
      <c r="AA123" s="164">
        <v>2457792843.5683446</v>
      </c>
      <c r="AB123" s="164">
        <v>2555748397.0899272</v>
      </c>
      <c r="AC123" s="164">
        <v>2142962711.6564555</v>
      </c>
      <c r="AD123" s="164">
        <v>3267526268.4220624</v>
      </c>
      <c r="AE123" s="164">
        <v>3162326354.932116</v>
      </c>
      <c r="AF123" s="219"/>
      <c r="AG123" s="219"/>
      <c r="AH123" s="219"/>
      <c r="AI123" s="219"/>
    </row>
    <row r="124" spans="1:35" x14ac:dyDescent="0.2">
      <c r="B124" s="9">
        <v>5</v>
      </c>
      <c r="C124" s="152" t="str">
        <f>'I1 General Inputs'!$C$19</f>
        <v>Option 5A</v>
      </c>
      <c r="D124" s="72"/>
      <c r="E124" s="77" t="s">
        <v>35</v>
      </c>
      <c r="F124" s="164">
        <v>0</v>
      </c>
      <c r="G124" s="164">
        <f>G119-(G119-G125)*$L$15</f>
        <v>2639147212.0935965</v>
      </c>
      <c r="H124" s="164">
        <f t="shared" ref="H124:AE124" si="225">H119-(H119-H125)*$L$15</f>
        <v>2500912907.3342485</v>
      </c>
      <c r="I124" s="164">
        <f t="shared" si="225"/>
        <v>2475464521.5917916</v>
      </c>
      <c r="J124" s="164">
        <f t="shared" si="225"/>
        <v>2542892873.4946446</v>
      </c>
      <c r="K124" s="164">
        <f t="shared" si="225"/>
        <v>2693047281.1818156</v>
      </c>
      <c r="L124" s="164">
        <f t="shared" si="225"/>
        <v>2698371020.8304753</v>
      </c>
      <c r="M124" s="164">
        <f t="shared" si="225"/>
        <v>2622865999.8173609</v>
      </c>
      <c r="N124" s="164">
        <f t="shared" si="225"/>
        <v>2851536964.4273019</v>
      </c>
      <c r="O124" s="164">
        <f t="shared" si="225"/>
        <v>2666381834.913022</v>
      </c>
      <c r="P124" s="164">
        <f t="shared" si="225"/>
        <v>2507311436.9292469</v>
      </c>
      <c r="Q124" s="164">
        <f t="shared" si="225"/>
        <v>2487509443.5500922</v>
      </c>
      <c r="R124" s="164">
        <f t="shared" si="225"/>
        <v>2294857644.4654069</v>
      </c>
      <c r="S124" s="164">
        <f t="shared" si="225"/>
        <v>2438898622.3381686</v>
      </c>
      <c r="T124" s="164">
        <f t="shared" si="225"/>
        <v>2407341377.0338793</v>
      </c>
      <c r="U124" s="164">
        <f t="shared" si="225"/>
        <v>2149966382.3758912</v>
      </c>
      <c r="V124" s="164">
        <f t="shared" si="225"/>
        <v>2297490234.7590051</v>
      </c>
      <c r="W124" s="164">
        <f t="shared" si="225"/>
        <v>2499884848.6301961</v>
      </c>
      <c r="X124" s="164">
        <f t="shared" si="225"/>
        <v>2542059903.5335889</v>
      </c>
      <c r="Y124" s="164">
        <f t="shared" si="225"/>
        <v>2479856905.4769545</v>
      </c>
      <c r="Z124" s="164">
        <f t="shared" si="225"/>
        <v>2390502866.5387282</v>
      </c>
      <c r="AA124" s="164">
        <f t="shared" si="225"/>
        <v>2462009883.8591928</v>
      </c>
      <c r="AB124" s="164">
        <f t="shared" si="225"/>
        <v>2558260192.3916287</v>
      </c>
      <c r="AC124" s="164">
        <f t="shared" si="225"/>
        <v>2143887960.7097979</v>
      </c>
      <c r="AD124" s="164">
        <f t="shared" si="225"/>
        <v>3272834026.744678</v>
      </c>
      <c r="AE124" s="164">
        <f t="shared" si="225"/>
        <v>3170635070.1415758</v>
      </c>
      <c r="AF124" s="219"/>
      <c r="AG124" s="219"/>
      <c r="AH124" s="219"/>
      <c r="AI124" s="219"/>
    </row>
    <row r="125" spans="1:35" x14ac:dyDescent="0.2">
      <c r="B125" s="9">
        <v>6</v>
      </c>
      <c r="C125" s="152" t="str">
        <f>'I1 General Inputs'!$C$20</f>
        <v>Option 5B</v>
      </c>
      <c r="D125" s="72"/>
      <c r="E125" s="77" t="s">
        <v>35</v>
      </c>
      <c r="F125" s="164">
        <v>0</v>
      </c>
      <c r="G125" s="164">
        <v>2639147208.3645458</v>
      </c>
      <c r="H125" s="164">
        <v>2500844105.4101491</v>
      </c>
      <c r="I125" s="164">
        <v>2468501781.133235</v>
      </c>
      <c r="J125" s="164">
        <v>2534785743.8806038</v>
      </c>
      <c r="K125" s="164">
        <v>2683662289.5352979</v>
      </c>
      <c r="L125" s="164">
        <v>2685276619.2381282</v>
      </c>
      <c r="M125" s="164">
        <v>2613476132.1377339</v>
      </c>
      <c r="N125" s="164">
        <v>2841795023.4189615</v>
      </c>
      <c r="O125" s="164">
        <v>2678963802.0197005</v>
      </c>
      <c r="P125" s="164">
        <v>2532855828.7292018</v>
      </c>
      <c r="Q125" s="164">
        <v>2514258269.0361228</v>
      </c>
      <c r="R125" s="164">
        <v>2309261967.7030048</v>
      </c>
      <c r="S125" s="164">
        <v>2443062188.2243834</v>
      </c>
      <c r="T125" s="164">
        <v>2412853591.3482776</v>
      </c>
      <c r="U125" s="164">
        <v>2173503384.0879474</v>
      </c>
      <c r="V125" s="164">
        <v>2312705548.3554235</v>
      </c>
      <c r="W125" s="164">
        <v>2475605407.8812089</v>
      </c>
      <c r="X125" s="164">
        <v>2523113857.261981</v>
      </c>
      <c r="Y125" s="164">
        <v>2480821021.7435694</v>
      </c>
      <c r="Z125" s="164">
        <v>2377982642.9880295</v>
      </c>
      <c r="AA125" s="164">
        <v>2433628919.290657</v>
      </c>
      <c r="AB125" s="164">
        <v>2545048801.1508379</v>
      </c>
      <c r="AC125" s="164">
        <v>2139779644.4580998</v>
      </c>
      <c r="AD125" s="164">
        <v>3210290370.8981161</v>
      </c>
      <c r="AE125" s="164">
        <v>3114522410.1460724</v>
      </c>
      <c r="AF125" s="219"/>
      <c r="AG125" s="219"/>
      <c r="AH125" s="219"/>
      <c r="AI125" s="219"/>
    </row>
    <row r="126" spans="1:35" x14ac:dyDescent="0.2">
      <c r="E126" s="75"/>
    </row>
    <row r="127" spans="1:35" ht="15.75" x14ac:dyDescent="0.25">
      <c r="B127" s="69" t="s">
        <v>14</v>
      </c>
      <c r="C127" s="69" t="s">
        <v>13</v>
      </c>
      <c r="D127" s="94" t="s">
        <v>116</v>
      </c>
      <c r="E127" s="73" t="s">
        <v>7</v>
      </c>
      <c r="F127" s="69">
        <f>FirstYear</f>
        <v>2020</v>
      </c>
      <c r="G127" s="69">
        <f>+F127+1</f>
        <v>2021</v>
      </c>
      <c r="H127" s="69">
        <f t="shared" ref="H127" si="226">+G127+1</f>
        <v>2022</v>
      </c>
      <c r="I127" s="69">
        <f t="shared" ref="I127" si="227">+H127+1</f>
        <v>2023</v>
      </c>
      <c r="J127" s="69">
        <f t="shared" ref="J127" si="228">+I127+1</f>
        <v>2024</v>
      </c>
      <c r="K127" s="69">
        <f t="shared" ref="K127" si="229">+J127+1</f>
        <v>2025</v>
      </c>
      <c r="L127" s="69">
        <f t="shared" ref="L127" si="230">+K127+1</f>
        <v>2026</v>
      </c>
      <c r="M127" s="69">
        <f t="shared" ref="M127" si="231">+L127+1</f>
        <v>2027</v>
      </c>
      <c r="N127" s="69">
        <f t="shared" ref="N127" si="232">+M127+1</f>
        <v>2028</v>
      </c>
      <c r="O127" s="69">
        <f t="shared" ref="O127" si="233">+N127+1</f>
        <v>2029</v>
      </c>
      <c r="P127" s="69">
        <f t="shared" ref="P127" si="234">+O127+1</f>
        <v>2030</v>
      </c>
      <c r="Q127" s="69">
        <f t="shared" ref="Q127" si="235">+P127+1</f>
        <v>2031</v>
      </c>
      <c r="R127" s="69">
        <f t="shared" ref="R127" si="236">+Q127+1</f>
        <v>2032</v>
      </c>
      <c r="S127" s="69">
        <f t="shared" ref="S127" si="237">+R127+1</f>
        <v>2033</v>
      </c>
      <c r="T127" s="69">
        <f t="shared" ref="T127" si="238">+S127+1</f>
        <v>2034</v>
      </c>
      <c r="U127" s="69">
        <f t="shared" ref="U127" si="239">+T127+1</f>
        <v>2035</v>
      </c>
      <c r="V127" s="69">
        <f t="shared" ref="V127" si="240">+U127+1</f>
        <v>2036</v>
      </c>
      <c r="W127" s="69">
        <f t="shared" ref="W127" si="241">+V127+1</f>
        <v>2037</v>
      </c>
      <c r="X127" s="69">
        <f t="shared" ref="X127" si="242">+W127+1</f>
        <v>2038</v>
      </c>
      <c r="Y127" s="69">
        <f t="shared" ref="Y127" si="243">+X127+1</f>
        <v>2039</v>
      </c>
      <c r="Z127" s="69">
        <f t="shared" ref="Z127" si="244">+Y127+1</f>
        <v>2040</v>
      </c>
      <c r="AA127" s="69">
        <f t="shared" ref="AA127" si="245">+Z127+1</f>
        <v>2041</v>
      </c>
      <c r="AB127" s="69">
        <f t="shared" ref="AB127" si="246">+AA127+1</f>
        <v>2042</v>
      </c>
      <c r="AC127" s="69">
        <f t="shared" ref="AC127" si="247">+AB127+1</f>
        <v>2043</v>
      </c>
      <c r="AD127" s="69">
        <f t="shared" ref="AD127" si="248">+AC127+1</f>
        <v>2044</v>
      </c>
      <c r="AE127" s="69">
        <f t="shared" ref="AE127" si="249">+AD127+1</f>
        <v>2045</v>
      </c>
      <c r="AF127" s="218"/>
      <c r="AG127" s="218"/>
      <c r="AH127" s="218"/>
      <c r="AI127" s="218"/>
    </row>
    <row r="128" spans="1:35" x14ac:dyDescent="0.2">
      <c r="B128" s="9">
        <v>0</v>
      </c>
      <c r="C128" s="153" t="str">
        <f>'I1 General Inputs'!$C$14</f>
        <v>Base case</v>
      </c>
      <c r="D128" s="72"/>
      <c r="E128" s="77" t="s">
        <v>35</v>
      </c>
      <c r="F128" s="164">
        <v>0</v>
      </c>
      <c r="G128" s="164">
        <v>2656620788.3641191</v>
      </c>
      <c r="H128" s="164">
        <v>2491823103.0498395</v>
      </c>
      <c r="I128" s="164">
        <v>2441583982.8831401</v>
      </c>
      <c r="J128" s="164">
        <v>2519630584.0304666</v>
      </c>
      <c r="K128" s="164">
        <v>2405265687.1733589</v>
      </c>
      <c r="L128" s="164">
        <v>2318342084.1669421</v>
      </c>
      <c r="M128" s="164">
        <v>2192798218.0258646</v>
      </c>
      <c r="N128" s="164">
        <v>2188555596.8033938</v>
      </c>
      <c r="O128" s="164">
        <v>2095563088.3579504</v>
      </c>
      <c r="P128" s="164">
        <v>1931414223.4759693</v>
      </c>
      <c r="Q128" s="164">
        <v>1933015874.8985164</v>
      </c>
      <c r="R128" s="164">
        <v>1841391620.1913056</v>
      </c>
      <c r="S128" s="164">
        <v>1968770426.7212787</v>
      </c>
      <c r="T128" s="164">
        <v>1998179157.9251308</v>
      </c>
      <c r="U128" s="164">
        <v>1752284866.3467202</v>
      </c>
      <c r="V128" s="164">
        <v>1924923133.6442831</v>
      </c>
      <c r="W128" s="164">
        <v>1963867514.2591152</v>
      </c>
      <c r="X128" s="164">
        <v>1871667298.9018018</v>
      </c>
      <c r="Y128" s="164">
        <v>1855040887.6711791</v>
      </c>
      <c r="Z128" s="164">
        <v>1731900488.6953015</v>
      </c>
      <c r="AA128" s="164">
        <v>1488919575.705518</v>
      </c>
      <c r="AB128" s="164">
        <v>1649652351.3610933</v>
      </c>
      <c r="AC128" s="164">
        <v>1374757270.6589139</v>
      </c>
      <c r="AD128" s="164">
        <v>1552392793.5077703</v>
      </c>
      <c r="AE128" s="164">
        <v>1436272980.728277</v>
      </c>
      <c r="AF128" s="219"/>
      <c r="AG128" s="219"/>
      <c r="AH128" s="219"/>
      <c r="AI128" s="219"/>
    </row>
    <row r="129" spans="2:35" x14ac:dyDescent="0.2">
      <c r="B129" s="9">
        <v>1</v>
      </c>
      <c r="C129" s="152" t="str">
        <f>'I1 General Inputs'!$C$15</f>
        <v>Option 1A</v>
      </c>
      <c r="D129" s="72"/>
      <c r="E129" s="77" t="s">
        <v>35</v>
      </c>
      <c r="F129" s="164">
        <v>0</v>
      </c>
      <c r="G129" s="164">
        <v>2656621000.0474477</v>
      </c>
      <c r="H129" s="164">
        <v>2491910038.1850824</v>
      </c>
      <c r="I129" s="164">
        <v>2440836274.8547039</v>
      </c>
      <c r="J129" s="164">
        <v>2517482049.5969977</v>
      </c>
      <c r="K129" s="164">
        <v>2404440272.5653176</v>
      </c>
      <c r="L129" s="164">
        <v>2318577368.4477835</v>
      </c>
      <c r="M129" s="164">
        <v>2192409622.493722</v>
      </c>
      <c r="N129" s="164">
        <v>2186149693.7002587</v>
      </c>
      <c r="O129" s="164">
        <v>2092524518.9258537</v>
      </c>
      <c r="P129" s="164">
        <v>1930082779.2646332</v>
      </c>
      <c r="Q129" s="164">
        <v>1929715902.471221</v>
      </c>
      <c r="R129" s="164">
        <v>1832702504.616894</v>
      </c>
      <c r="S129" s="164">
        <v>1959906532.2265856</v>
      </c>
      <c r="T129" s="164">
        <v>1982927169.5884817</v>
      </c>
      <c r="U129" s="164">
        <v>1755524455.8951073</v>
      </c>
      <c r="V129" s="164">
        <v>1918787186.444488</v>
      </c>
      <c r="W129" s="164">
        <v>1961869833.9711993</v>
      </c>
      <c r="X129" s="164">
        <v>1862406679.4561419</v>
      </c>
      <c r="Y129" s="164">
        <v>1848168886.9266467</v>
      </c>
      <c r="Z129" s="164">
        <v>1714818502.1915233</v>
      </c>
      <c r="AA129" s="164">
        <v>1474606640.6539567</v>
      </c>
      <c r="AB129" s="164">
        <v>1628388548.6436532</v>
      </c>
      <c r="AC129" s="164">
        <v>1354292893.2793136</v>
      </c>
      <c r="AD129" s="164">
        <v>1523648720.7464616</v>
      </c>
      <c r="AE129" s="164">
        <v>1413183937.6893225</v>
      </c>
      <c r="AF129" s="219"/>
      <c r="AG129" s="219"/>
      <c r="AH129" s="219"/>
      <c r="AI129" s="219"/>
    </row>
    <row r="130" spans="2:35" x14ac:dyDescent="0.2">
      <c r="B130" s="9">
        <v>2</v>
      </c>
      <c r="C130" s="152" t="str">
        <f>'I1 General Inputs'!$C$16</f>
        <v>Option 1B</v>
      </c>
      <c r="D130" s="72"/>
      <c r="E130" s="77" t="s">
        <v>35</v>
      </c>
      <c r="F130" s="164">
        <v>0</v>
      </c>
      <c r="G130" s="164">
        <v>2656620828.0525813</v>
      </c>
      <c r="H130" s="164">
        <v>2491840155.4520898</v>
      </c>
      <c r="I130" s="164">
        <v>2443482344.7245507</v>
      </c>
      <c r="J130" s="164">
        <v>2520715282.6725097</v>
      </c>
      <c r="K130" s="164">
        <v>2404159360.4063301</v>
      </c>
      <c r="L130" s="164">
        <v>2317918027.5924892</v>
      </c>
      <c r="M130" s="164">
        <v>2192469220.8859291</v>
      </c>
      <c r="N130" s="164">
        <v>2186381066.5621014</v>
      </c>
      <c r="O130" s="164">
        <v>2094756328.9421072</v>
      </c>
      <c r="P130" s="164">
        <v>1931462507.2098689</v>
      </c>
      <c r="Q130" s="164">
        <v>1931053157.3699934</v>
      </c>
      <c r="R130" s="164">
        <v>1834219782.8764989</v>
      </c>
      <c r="S130" s="164">
        <v>1959538080.5375743</v>
      </c>
      <c r="T130" s="164">
        <v>1992860258.8736467</v>
      </c>
      <c r="U130" s="164">
        <v>1750417976.7468421</v>
      </c>
      <c r="V130" s="164">
        <v>1917171893.8657715</v>
      </c>
      <c r="W130" s="164">
        <v>1958035849.388941</v>
      </c>
      <c r="X130" s="164">
        <v>1864190514.022871</v>
      </c>
      <c r="Y130" s="164">
        <v>1850580369.7571695</v>
      </c>
      <c r="Z130" s="164">
        <v>1720437359.0980155</v>
      </c>
      <c r="AA130" s="164">
        <v>1472981860.2717693</v>
      </c>
      <c r="AB130" s="164">
        <v>1637193665.2599225</v>
      </c>
      <c r="AC130" s="164">
        <v>1356193201.9046361</v>
      </c>
      <c r="AD130" s="164">
        <v>1524872080.1375926</v>
      </c>
      <c r="AE130" s="164">
        <v>1416275267.3470969</v>
      </c>
      <c r="AF130" s="219"/>
      <c r="AG130" s="219"/>
      <c r="AH130" s="219"/>
      <c r="AI130" s="219"/>
    </row>
    <row r="131" spans="2:35" x14ac:dyDescent="0.2">
      <c r="B131" s="9">
        <v>3</v>
      </c>
      <c r="C131" s="152" t="str">
        <f>'I1 General Inputs'!$C$17</f>
        <v>Option 1C</v>
      </c>
      <c r="D131" s="72"/>
      <c r="E131" s="77" t="s">
        <v>35</v>
      </c>
      <c r="F131" s="164">
        <v>0</v>
      </c>
      <c r="G131" s="164">
        <v>2656620789.9275193</v>
      </c>
      <c r="H131" s="164">
        <v>2491805168.0863628</v>
      </c>
      <c r="I131" s="164">
        <v>2434251830.2295985</v>
      </c>
      <c r="J131" s="164">
        <v>2511609290.0362926</v>
      </c>
      <c r="K131" s="164">
        <v>2405310107.4359555</v>
      </c>
      <c r="L131" s="164">
        <v>2319198537.2790322</v>
      </c>
      <c r="M131" s="164">
        <v>2193378632.1281724</v>
      </c>
      <c r="N131" s="164">
        <v>2189254875.4914241</v>
      </c>
      <c r="O131" s="164">
        <v>2095799430.9776225</v>
      </c>
      <c r="P131" s="164">
        <v>1929344731.3668075</v>
      </c>
      <c r="Q131" s="164">
        <v>1931794095.2359638</v>
      </c>
      <c r="R131" s="164">
        <v>1838848996.5025654</v>
      </c>
      <c r="S131" s="164">
        <v>1967739836.9465392</v>
      </c>
      <c r="T131" s="164">
        <v>1990067387.3911574</v>
      </c>
      <c r="U131" s="164">
        <v>1757692042.38147</v>
      </c>
      <c r="V131" s="164">
        <v>1925698177.75123</v>
      </c>
      <c r="W131" s="164">
        <v>1967978387.5928316</v>
      </c>
      <c r="X131" s="164">
        <v>1870913889.2641983</v>
      </c>
      <c r="Y131" s="164">
        <v>1855079890.3817952</v>
      </c>
      <c r="Z131" s="164">
        <v>1726430132.4913008</v>
      </c>
      <c r="AA131" s="164">
        <v>1490450144.9832103</v>
      </c>
      <c r="AB131" s="164">
        <v>1646792270.831147</v>
      </c>
      <c r="AC131" s="164">
        <v>1372975884.9527273</v>
      </c>
      <c r="AD131" s="164">
        <v>1554549751.5380211</v>
      </c>
      <c r="AE131" s="164">
        <v>1436021586.9477758</v>
      </c>
      <c r="AF131" s="219"/>
      <c r="AG131" s="219"/>
      <c r="AH131" s="219"/>
      <c r="AI131" s="219"/>
    </row>
    <row r="132" spans="2:35" x14ac:dyDescent="0.2">
      <c r="B132" s="9">
        <v>4</v>
      </c>
      <c r="C132" s="152" t="str">
        <f>'I1 General Inputs'!$C$18</f>
        <v>Option 1D</v>
      </c>
      <c r="D132" s="72"/>
      <c r="E132" s="77" t="s">
        <v>35</v>
      </c>
      <c r="F132" s="164">
        <v>0</v>
      </c>
      <c r="G132" s="164">
        <v>2656620838.5931325</v>
      </c>
      <c r="H132" s="164">
        <v>2491812194.7013698</v>
      </c>
      <c r="I132" s="164">
        <v>2435884008.8548012</v>
      </c>
      <c r="J132" s="164">
        <v>2513070616.1664996</v>
      </c>
      <c r="K132" s="164">
        <v>2405950574.7247348</v>
      </c>
      <c r="L132" s="164">
        <v>2319021637.2810154</v>
      </c>
      <c r="M132" s="164">
        <v>2193443408.4393139</v>
      </c>
      <c r="N132" s="164">
        <v>2189250818.9404125</v>
      </c>
      <c r="O132" s="164">
        <v>2095801949.6266627</v>
      </c>
      <c r="P132" s="164">
        <v>1929928570.3381329</v>
      </c>
      <c r="Q132" s="164">
        <v>1932179240.0956137</v>
      </c>
      <c r="R132" s="164">
        <v>1838279120.723501</v>
      </c>
      <c r="S132" s="164">
        <v>1968324368.8618214</v>
      </c>
      <c r="T132" s="164">
        <v>1994469875.6958284</v>
      </c>
      <c r="U132" s="164">
        <v>1751955785.6025975</v>
      </c>
      <c r="V132" s="164">
        <v>1924311919.4273562</v>
      </c>
      <c r="W132" s="164">
        <v>1965560309.0199773</v>
      </c>
      <c r="X132" s="164">
        <v>1870804952.2798917</v>
      </c>
      <c r="Y132" s="164">
        <v>1856003336.4876533</v>
      </c>
      <c r="Z132" s="164">
        <v>1729836639.1069829</v>
      </c>
      <c r="AA132" s="164">
        <v>1489281813.2769799</v>
      </c>
      <c r="AB132" s="164">
        <v>1647578291.0838602</v>
      </c>
      <c r="AC132" s="164">
        <v>1373973088.0214112</v>
      </c>
      <c r="AD132" s="164">
        <v>1553197364.4996688</v>
      </c>
      <c r="AE132" s="164">
        <v>1435724831.9550941</v>
      </c>
      <c r="AF132" s="219"/>
      <c r="AG132" s="219"/>
      <c r="AH132" s="219"/>
      <c r="AI132" s="219"/>
    </row>
    <row r="133" spans="2:35" x14ac:dyDescent="0.2">
      <c r="B133" s="9">
        <v>5</v>
      </c>
      <c r="C133" s="152" t="str">
        <f>'I1 General Inputs'!$C$19</f>
        <v>Option 5A</v>
      </c>
      <c r="D133" s="72"/>
      <c r="E133" s="77" t="s">
        <v>35</v>
      </c>
      <c r="F133" s="164">
        <v>0</v>
      </c>
      <c r="G133" s="164">
        <f>G128-(G128-G134)*$L$15</f>
        <v>2656620788.3641191</v>
      </c>
      <c r="H133" s="164">
        <f t="shared" ref="H133:AE133" si="250">H128-(H128-H134)*$L$15</f>
        <v>2491823103.0498395</v>
      </c>
      <c r="I133" s="164">
        <f t="shared" si="250"/>
        <v>2441583982.8831401</v>
      </c>
      <c r="J133" s="164">
        <f t="shared" si="250"/>
        <v>2519630584.0304666</v>
      </c>
      <c r="K133" s="164">
        <f t="shared" si="250"/>
        <v>2405265687.1733589</v>
      </c>
      <c r="L133" s="164">
        <f t="shared" si="250"/>
        <v>2318342084.1669421</v>
      </c>
      <c r="M133" s="164">
        <f t="shared" si="250"/>
        <v>2192798218.0258646</v>
      </c>
      <c r="N133" s="164">
        <f t="shared" si="250"/>
        <v>2188555596.8033938</v>
      </c>
      <c r="O133" s="164">
        <f t="shared" si="250"/>
        <v>2095563088.3579504</v>
      </c>
      <c r="P133" s="164">
        <f t="shared" si="250"/>
        <v>1931414223.4759693</v>
      </c>
      <c r="Q133" s="164">
        <f t="shared" si="250"/>
        <v>1933015874.8985164</v>
      </c>
      <c r="R133" s="164">
        <f t="shared" si="250"/>
        <v>1841391620.1913056</v>
      </c>
      <c r="S133" s="164">
        <f t="shared" si="250"/>
        <v>1968770426.7212787</v>
      </c>
      <c r="T133" s="164">
        <f t="shared" si="250"/>
        <v>1998179157.9251308</v>
      </c>
      <c r="U133" s="164">
        <f t="shared" si="250"/>
        <v>1752284866.3467202</v>
      </c>
      <c r="V133" s="164">
        <f t="shared" si="250"/>
        <v>1924923133.6442831</v>
      </c>
      <c r="W133" s="164">
        <f t="shared" si="250"/>
        <v>1963867514.2591152</v>
      </c>
      <c r="X133" s="164">
        <f t="shared" si="250"/>
        <v>1871667298.9018018</v>
      </c>
      <c r="Y133" s="164">
        <f t="shared" si="250"/>
        <v>1855040887.6711791</v>
      </c>
      <c r="Z133" s="164">
        <f t="shared" si="250"/>
        <v>1731900488.6953015</v>
      </c>
      <c r="AA133" s="164">
        <f t="shared" si="250"/>
        <v>1488919575.705518</v>
      </c>
      <c r="AB133" s="164">
        <f t="shared" si="250"/>
        <v>1649652351.3610933</v>
      </c>
      <c r="AC133" s="164">
        <f t="shared" si="250"/>
        <v>1374757270.6589139</v>
      </c>
      <c r="AD133" s="164">
        <f t="shared" si="250"/>
        <v>1552392793.5077703</v>
      </c>
      <c r="AE133" s="164">
        <f t="shared" si="250"/>
        <v>1436272980.728277</v>
      </c>
      <c r="AF133" s="219"/>
      <c r="AG133" s="219"/>
      <c r="AH133" s="219"/>
      <c r="AI133" s="219"/>
    </row>
    <row r="134" spans="2:35" x14ac:dyDescent="0.2">
      <c r="B134" s="9">
        <v>6</v>
      </c>
      <c r="C134" s="152" t="str">
        <f>'I1 General Inputs'!$C$20</f>
        <v>Option 5B</v>
      </c>
      <c r="D134" s="72"/>
      <c r="E134" s="77" t="s">
        <v>35</v>
      </c>
      <c r="F134" s="164">
        <v>0</v>
      </c>
      <c r="G134" s="164">
        <v>2656621027.4507403</v>
      </c>
      <c r="H134" s="164">
        <v>2491882340.6054683</v>
      </c>
      <c r="I134" s="164">
        <v>2440110608.9561591</v>
      </c>
      <c r="J134" s="164">
        <v>2516238100.587389</v>
      </c>
      <c r="K134" s="164">
        <v>2404098062.5659118</v>
      </c>
      <c r="L134" s="164">
        <v>2318505577.4635286</v>
      </c>
      <c r="M134" s="164">
        <v>2192655185.7537918</v>
      </c>
      <c r="N134" s="164">
        <v>2185952404.7446218</v>
      </c>
      <c r="O134" s="164">
        <v>2090076707.384161</v>
      </c>
      <c r="P134" s="164">
        <v>1930036981.9063151</v>
      </c>
      <c r="Q134" s="164">
        <v>1929387536.3363814</v>
      </c>
      <c r="R134" s="164">
        <v>1832320474.0693665</v>
      </c>
      <c r="S134" s="164">
        <v>1958707765.8718731</v>
      </c>
      <c r="T134" s="164">
        <v>1983770028.1310325</v>
      </c>
      <c r="U134" s="164">
        <v>1753062003.4721847</v>
      </c>
      <c r="V134" s="164">
        <v>1915005644.2643907</v>
      </c>
      <c r="W134" s="164">
        <v>1958235600.9705231</v>
      </c>
      <c r="X134" s="164">
        <v>1860546149.7861736</v>
      </c>
      <c r="Y134" s="164">
        <v>1845842776.16257</v>
      </c>
      <c r="Z134" s="164">
        <v>1713765452.4857996</v>
      </c>
      <c r="AA134" s="164">
        <v>1474339445.9090452</v>
      </c>
      <c r="AB134" s="164">
        <v>1622083982.3328772</v>
      </c>
      <c r="AC134" s="164">
        <v>1348514178.5010829</v>
      </c>
      <c r="AD134" s="164">
        <v>1519392155.4325521</v>
      </c>
      <c r="AE134" s="164">
        <v>1411602491.3343675</v>
      </c>
      <c r="AF134" s="219"/>
      <c r="AG134" s="219"/>
      <c r="AH134" s="219"/>
      <c r="AI134" s="219"/>
    </row>
    <row r="135" spans="2:35" x14ac:dyDescent="0.2">
      <c r="E135" s="75"/>
    </row>
    <row r="136" spans="2:35" ht="15.75" x14ac:dyDescent="0.25">
      <c r="B136" s="69" t="s">
        <v>14</v>
      </c>
      <c r="C136" s="69" t="s">
        <v>13</v>
      </c>
      <c r="D136" s="69" t="s">
        <v>99</v>
      </c>
      <c r="E136" s="73" t="s">
        <v>7</v>
      </c>
      <c r="F136" s="69">
        <f>FirstYear</f>
        <v>2020</v>
      </c>
      <c r="G136" s="69">
        <f>+F136+1</f>
        <v>2021</v>
      </c>
      <c r="H136" s="69">
        <f t="shared" ref="H136" si="251">+G136+1</f>
        <v>2022</v>
      </c>
      <c r="I136" s="69">
        <f t="shared" ref="I136" si="252">+H136+1</f>
        <v>2023</v>
      </c>
      <c r="J136" s="69">
        <f t="shared" ref="J136" si="253">+I136+1</f>
        <v>2024</v>
      </c>
      <c r="K136" s="69">
        <f t="shared" ref="K136" si="254">+J136+1</f>
        <v>2025</v>
      </c>
      <c r="L136" s="69">
        <f t="shared" ref="L136" si="255">+K136+1</f>
        <v>2026</v>
      </c>
      <c r="M136" s="69">
        <f t="shared" ref="M136" si="256">+L136+1</f>
        <v>2027</v>
      </c>
      <c r="N136" s="69">
        <f t="shared" ref="N136" si="257">+M136+1</f>
        <v>2028</v>
      </c>
      <c r="O136" s="69">
        <f t="shared" ref="O136" si="258">+N136+1</f>
        <v>2029</v>
      </c>
      <c r="P136" s="69">
        <f t="shared" ref="P136" si="259">+O136+1</f>
        <v>2030</v>
      </c>
      <c r="Q136" s="69">
        <f t="shared" ref="Q136" si="260">+P136+1</f>
        <v>2031</v>
      </c>
      <c r="R136" s="69">
        <f t="shared" ref="R136" si="261">+Q136+1</f>
        <v>2032</v>
      </c>
      <c r="S136" s="69">
        <f t="shared" ref="S136" si="262">+R136+1</f>
        <v>2033</v>
      </c>
      <c r="T136" s="69">
        <f t="shared" ref="T136" si="263">+S136+1</f>
        <v>2034</v>
      </c>
      <c r="U136" s="69">
        <f t="shared" ref="U136" si="264">+T136+1</f>
        <v>2035</v>
      </c>
      <c r="V136" s="69">
        <f t="shared" ref="V136" si="265">+U136+1</f>
        <v>2036</v>
      </c>
      <c r="W136" s="69">
        <f t="shared" ref="W136" si="266">+V136+1</f>
        <v>2037</v>
      </c>
      <c r="X136" s="69">
        <f t="shared" ref="X136" si="267">+W136+1</f>
        <v>2038</v>
      </c>
      <c r="Y136" s="69">
        <f t="shared" ref="Y136" si="268">+X136+1</f>
        <v>2039</v>
      </c>
      <c r="Z136" s="69">
        <f t="shared" ref="Z136" si="269">+Y136+1</f>
        <v>2040</v>
      </c>
      <c r="AA136" s="69">
        <f t="shared" ref="AA136" si="270">+Z136+1</f>
        <v>2041</v>
      </c>
      <c r="AB136" s="69">
        <f t="shared" ref="AB136" si="271">+AA136+1</f>
        <v>2042</v>
      </c>
      <c r="AC136" s="69">
        <f t="shared" ref="AC136" si="272">+AB136+1</f>
        <v>2043</v>
      </c>
      <c r="AD136" s="69">
        <f t="shared" ref="AD136" si="273">+AC136+1</f>
        <v>2044</v>
      </c>
      <c r="AE136" s="69">
        <f t="shared" ref="AE136" si="274">+AD136+1</f>
        <v>2045</v>
      </c>
      <c r="AF136" s="218"/>
      <c r="AG136" s="218"/>
      <c r="AH136" s="218"/>
      <c r="AI136" s="218"/>
    </row>
    <row r="137" spans="2:35" x14ac:dyDescent="0.2">
      <c r="B137" s="9">
        <v>0</v>
      </c>
      <c r="C137" s="153" t="str">
        <f>'I1 General Inputs'!$C$14</f>
        <v>Base case</v>
      </c>
      <c r="D137" s="72"/>
      <c r="E137" s="77" t="s">
        <v>35</v>
      </c>
      <c r="F137" s="164">
        <v>0</v>
      </c>
      <c r="G137" s="164">
        <v>2536312944.8124166</v>
      </c>
      <c r="H137" s="164">
        <v>2303528840.8257656</v>
      </c>
      <c r="I137" s="164">
        <v>2223960409.5608001</v>
      </c>
      <c r="J137" s="164">
        <v>2141577477.786788</v>
      </c>
      <c r="K137" s="164">
        <v>2194693138.6932731</v>
      </c>
      <c r="L137" s="164">
        <v>2151310128.518085</v>
      </c>
      <c r="M137" s="164">
        <v>2098207007.0909669</v>
      </c>
      <c r="N137" s="164">
        <v>2273246130.8053346</v>
      </c>
      <c r="O137" s="164">
        <v>2086492450.7325943</v>
      </c>
      <c r="P137" s="164">
        <v>1918281614.1124871</v>
      </c>
      <c r="Q137" s="164">
        <v>1766255997.2410355</v>
      </c>
      <c r="R137" s="164">
        <v>1774949115.206588</v>
      </c>
      <c r="S137" s="164">
        <v>1894940938.4244645</v>
      </c>
      <c r="T137" s="164">
        <v>1930771426.5739703</v>
      </c>
      <c r="U137" s="164">
        <v>1875275604.9559073</v>
      </c>
      <c r="V137" s="164">
        <v>1981261284.8653758</v>
      </c>
      <c r="W137" s="164">
        <v>2028621140.4634476</v>
      </c>
      <c r="X137" s="164">
        <v>2144961316.3717284</v>
      </c>
      <c r="Y137" s="164">
        <v>2052115187.2475669</v>
      </c>
      <c r="Z137" s="164">
        <v>2183214709.1098428</v>
      </c>
      <c r="AA137" s="164">
        <v>2234803383.3703971</v>
      </c>
      <c r="AB137" s="164">
        <v>2289731724.690094</v>
      </c>
      <c r="AC137" s="164">
        <v>2080872916.2529125</v>
      </c>
      <c r="AD137" s="164">
        <v>2676453592.2312984</v>
      </c>
      <c r="AE137" s="164">
        <v>2719642268.7603574</v>
      </c>
      <c r="AF137" s="219"/>
      <c r="AG137" s="219"/>
      <c r="AH137" s="219"/>
      <c r="AI137" s="219"/>
    </row>
    <row r="138" spans="2:35" x14ac:dyDescent="0.2">
      <c r="B138" s="9">
        <v>1</v>
      </c>
      <c r="C138" s="152" t="str">
        <f>'I1 General Inputs'!$C$15</f>
        <v>Option 1A</v>
      </c>
      <c r="D138" s="72"/>
      <c r="E138" s="77" t="s">
        <v>35</v>
      </c>
      <c r="F138" s="164">
        <v>0</v>
      </c>
      <c r="G138" s="164">
        <v>2536312938.4339194</v>
      </c>
      <c r="H138" s="164">
        <v>2303543118.6251297</v>
      </c>
      <c r="I138" s="164">
        <v>2219823643.3178535</v>
      </c>
      <c r="J138" s="164">
        <v>2137760944.3781199</v>
      </c>
      <c r="K138" s="164">
        <v>2190321997.4768682</v>
      </c>
      <c r="L138" s="164">
        <v>2147338869.4894342</v>
      </c>
      <c r="M138" s="164">
        <v>2093206261.4178743</v>
      </c>
      <c r="N138" s="164">
        <v>2267610988.5044141</v>
      </c>
      <c r="O138" s="164">
        <v>2083910453.8954062</v>
      </c>
      <c r="P138" s="164">
        <v>1919420227.0338464</v>
      </c>
      <c r="Q138" s="164">
        <v>1768304859.2018218</v>
      </c>
      <c r="R138" s="164">
        <v>1776047596.8608434</v>
      </c>
      <c r="S138" s="164">
        <v>1892957622.3877757</v>
      </c>
      <c r="T138" s="164">
        <v>1924557205.1552064</v>
      </c>
      <c r="U138" s="164">
        <v>1873634976.74616</v>
      </c>
      <c r="V138" s="164">
        <v>1979977291.7103541</v>
      </c>
      <c r="W138" s="164">
        <v>2037260890.5842354</v>
      </c>
      <c r="X138" s="164">
        <v>2124086546.8476508</v>
      </c>
      <c r="Y138" s="164">
        <v>2044690772.9970529</v>
      </c>
      <c r="Z138" s="164">
        <v>2168147391.03933</v>
      </c>
      <c r="AA138" s="164">
        <v>2225095793.1636782</v>
      </c>
      <c r="AB138" s="164">
        <v>2273177535.8748713</v>
      </c>
      <c r="AC138" s="164">
        <v>2065140341.764462</v>
      </c>
      <c r="AD138" s="164">
        <v>2657673162.0732799</v>
      </c>
      <c r="AE138" s="164">
        <v>2709392155.3472281</v>
      </c>
      <c r="AF138" s="219"/>
      <c r="AG138" s="219"/>
      <c r="AH138" s="219"/>
      <c r="AI138" s="219"/>
    </row>
    <row r="139" spans="2:35" x14ac:dyDescent="0.2">
      <c r="B139" s="9">
        <v>2</v>
      </c>
      <c r="C139" s="152" t="str">
        <f>'I1 General Inputs'!$C$16</f>
        <v>Option 1B</v>
      </c>
      <c r="D139" s="72"/>
      <c r="E139" s="77" t="s">
        <v>35</v>
      </c>
      <c r="F139" s="164">
        <v>0</v>
      </c>
      <c r="G139" s="164">
        <v>2536312948.5100956</v>
      </c>
      <c r="H139" s="164">
        <v>2303536144.0986466</v>
      </c>
      <c r="I139" s="164">
        <v>2219909970.0254154</v>
      </c>
      <c r="J139" s="164">
        <v>2138332008.860348</v>
      </c>
      <c r="K139" s="164">
        <v>2190999565.3062439</v>
      </c>
      <c r="L139" s="164">
        <v>2147835625.1354237</v>
      </c>
      <c r="M139" s="164">
        <v>2094147543.0536499</v>
      </c>
      <c r="N139" s="164">
        <v>2269254356.8512425</v>
      </c>
      <c r="O139" s="164">
        <v>2083594626.6483631</v>
      </c>
      <c r="P139" s="164">
        <v>1915978713.2238181</v>
      </c>
      <c r="Q139" s="164">
        <v>1764161246.678407</v>
      </c>
      <c r="R139" s="164">
        <v>1772500525.8327572</v>
      </c>
      <c r="S139" s="164">
        <v>1892798048.056783</v>
      </c>
      <c r="T139" s="164">
        <v>1929818692.2743368</v>
      </c>
      <c r="U139" s="164">
        <v>1874345212.6810122</v>
      </c>
      <c r="V139" s="164">
        <v>1977379901.2261405</v>
      </c>
      <c r="W139" s="164">
        <v>2028220943.1698391</v>
      </c>
      <c r="X139" s="164">
        <v>2115167139.7136383</v>
      </c>
      <c r="Y139" s="164">
        <v>2024188976.2191577</v>
      </c>
      <c r="Z139" s="164">
        <v>2156682049.8921657</v>
      </c>
      <c r="AA139" s="164">
        <v>2219381539.0897198</v>
      </c>
      <c r="AB139" s="164">
        <v>2261601689.2174706</v>
      </c>
      <c r="AC139" s="164">
        <v>2051414005.9977062</v>
      </c>
      <c r="AD139" s="164">
        <v>2642505717.8230915</v>
      </c>
      <c r="AE139" s="164">
        <v>2694609245.5075631</v>
      </c>
      <c r="AF139" s="219"/>
      <c r="AG139" s="219"/>
      <c r="AH139" s="219"/>
      <c r="AI139" s="219"/>
    </row>
    <row r="140" spans="2:35" x14ac:dyDescent="0.2">
      <c r="B140" s="9">
        <v>3</v>
      </c>
      <c r="C140" s="152" t="str">
        <f>'I1 General Inputs'!$C$17</f>
        <v>Option 1C</v>
      </c>
      <c r="D140" s="72"/>
      <c r="E140" s="77" t="s">
        <v>35</v>
      </c>
      <c r="F140" s="164">
        <v>0</v>
      </c>
      <c r="G140" s="164">
        <v>2536312933.5018425</v>
      </c>
      <c r="H140" s="164">
        <v>2303525076.3470783</v>
      </c>
      <c r="I140" s="164">
        <v>2223892537.560472</v>
      </c>
      <c r="J140" s="164">
        <v>2140973362.0853524</v>
      </c>
      <c r="K140" s="164">
        <v>2194068630.5492744</v>
      </c>
      <c r="L140" s="164">
        <v>2150845344.9680872</v>
      </c>
      <c r="M140" s="164">
        <v>2097342973.4451892</v>
      </c>
      <c r="N140" s="164">
        <v>2271565081.6415582</v>
      </c>
      <c r="O140" s="164">
        <v>2088848038.3906009</v>
      </c>
      <c r="P140" s="164">
        <v>1923320320.9056852</v>
      </c>
      <c r="Q140" s="164">
        <v>1771864502.8815084</v>
      </c>
      <c r="R140" s="164">
        <v>1780038355.090919</v>
      </c>
      <c r="S140" s="164">
        <v>1896078124.3984759</v>
      </c>
      <c r="T140" s="164">
        <v>1927225574.9850736</v>
      </c>
      <c r="U140" s="164">
        <v>1876135621.7876444</v>
      </c>
      <c r="V140" s="164">
        <v>1986039276.6940033</v>
      </c>
      <c r="W140" s="164">
        <v>2036879558.8057144</v>
      </c>
      <c r="X140" s="164">
        <v>2151858264.830956</v>
      </c>
      <c r="Y140" s="164">
        <v>2066213092.2861426</v>
      </c>
      <c r="Z140" s="164">
        <v>2193508231.8310342</v>
      </c>
      <c r="AA140" s="164">
        <v>2244784104.4672685</v>
      </c>
      <c r="AB140" s="164">
        <v>2299425867.5492549</v>
      </c>
      <c r="AC140" s="164">
        <v>2092620316.4194453</v>
      </c>
      <c r="AD140" s="164">
        <v>2687335296.8284497</v>
      </c>
      <c r="AE140" s="164">
        <v>2738654919.3648248</v>
      </c>
      <c r="AF140" s="219"/>
      <c r="AG140" s="219"/>
      <c r="AH140" s="219"/>
      <c r="AI140" s="219"/>
    </row>
    <row r="141" spans="2:35" x14ac:dyDescent="0.2">
      <c r="B141" s="9">
        <v>4</v>
      </c>
      <c r="C141" s="152" t="str">
        <f>'I1 General Inputs'!$C$18</f>
        <v>Option 1D</v>
      </c>
      <c r="D141" s="72"/>
      <c r="E141" s="77" t="s">
        <v>35</v>
      </c>
      <c r="F141" s="164">
        <v>0</v>
      </c>
      <c r="G141" s="164">
        <v>2536312932.4372334</v>
      </c>
      <c r="H141" s="164">
        <v>2303525450.2628994</v>
      </c>
      <c r="I141" s="164">
        <v>2223934390.6846256</v>
      </c>
      <c r="J141" s="164">
        <v>2141198422.826344</v>
      </c>
      <c r="K141" s="164">
        <v>2194183369.293992</v>
      </c>
      <c r="L141" s="164">
        <v>2150980369.1527839</v>
      </c>
      <c r="M141" s="164">
        <v>2097591422.3969874</v>
      </c>
      <c r="N141" s="164">
        <v>2271961185.829216</v>
      </c>
      <c r="O141" s="164">
        <v>2088034484.3935471</v>
      </c>
      <c r="P141" s="164">
        <v>1921655626.5089843</v>
      </c>
      <c r="Q141" s="164">
        <v>1769950324.4500937</v>
      </c>
      <c r="R141" s="164">
        <v>1778319244.1707487</v>
      </c>
      <c r="S141" s="164">
        <v>1896021702.2193117</v>
      </c>
      <c r="T141" s="164">
        <v>1930293282.6464961</v>
      </c>
      <c r="U141" s="164">
        <v>1877298510.5541189</v>
      </c>
      <c r="V141" s="164">
        <v>1986207731.5383956</v>
      </c>
      <c r="W141" s="164">
        <v>2035146738.0730498</v>
      </c>
      <c r="X141" s="164">
        <v>2151185638.0873537</v>
      </c>
      <c r="Y141" s="164">
        <v>2062199229.6823189</v>
      </c>
      <c r="Z141" s="164">
        <v>2188452792.5620599</v>
      </c>
      <c r="AA141" s="164">
        <v>2240965332.8366413</v>
      </c>
      <c r="AB141" s="164">
        <v>2293545941.2641826</v>
      </c>
      <c r="AC141" s="164">
        <v>2085578150.5906174</v>
      </c>
      <c r="AD141" s="164">
        <v>2680264656.994894</v>
      </c>
      <c r="AE141" s="164">
        <v>2731810482.1356196</v>
      </c>
      <c r="AF141" s="219"/>
      <c r="AG141" s="219"/>
      <c r="AH141" s="219"/>
      <c r="AI141" s="219"/>
    </row>
    <row r="142" spans="2:35" x14ac:dyDescent="0.2">
      <c r="B142" s="9">
        <v>5</v>
      </c>
      <c r="C142" s="152" t="str">
        <f>'I1 General Inputs'!$C$19</f>
        <v>Option 5A</v>
      </c>
      <c r="D142" s="72"/>
      <c r="E142" s="77" t="s">
        <v>35</v>
      </c>
      <c r="F142" s="164">
        <v>0</v>
      </c>
      <c r="G142" s="164">
        <f>G137-(G137-G143)*$L$15</f>
        <v>2536312944.8124166</v>
      </c>
      <c r="H142" s="164">
        <f t="shared" ref="H142:AE142" si="275">H137-(H137-H143)*$L$15</f>
        <v>2303528840.8257656</v>
      </c>
      <c r="I142" s="164">
        <f t="shared" si="275"/>
        <v>2223960409.5608001</v>
      </c>
      <c r="J142" s="164">
        <f t="shared" si="275"/>
        <v>2141577477.786788</v>
      </c>
      <c r="K142" s="164">
        <f t="shared" si="275"/>
        <v>2194693138.6932731</v>
      </c>
      <c r="L142" s="164">
        <f t="shared" si="275"/>
        <v>2151310128.518085</v>
      </c>
      <c r="M142" s="164">
        <f t="shared" si="275"/>
        <v>2098207007.0909669</v>
      </c>
      <c r="N142" s="164">
        <f t="shared" si="275"/>
        <v>2273246130.8053346</v>
      </c>
      <c r="O142" s="164">
        <f t="shared" si="275"/>
        <v>2086492450.7325943</v>
      </c>
      <c r="P142" s="164">
        <f t="shared" si="275"/>
        <v>1918281614.1124871</v>
      </c>
      <c r="Q142" s="164">
        <f t="shared" si="275"/>
        <v>1766255997.2410355</v>
      </c>
      <c r="R142" s="164">
        <f t="shared" si="275"/>
        <v>1774949115.206588</v>
      </c>
      <c r="S142" s="164">
        <f t="shared" si="275"/>
        <v>1894940938.4244645</v>
      </c>
      <c r="T142" s="164">
        <f t="shared" si="275"/>
        <v>1930771426.5739703</v>
      </c>
      <c r="U142" s="164">
        <f t="shared" si="275"/>
        <v>1875275604.9559073</v>
      </c>
      <c r="V142" s="164">
        <f t="shared" si="275"/>
        <v>1981261284.8653758</v>
      </c>
      <c r="W142" s="164">
        <f t="shared" si="275"/>
        <v>2028621140.4634476</v>
      </c>
      <c r="X142" s="164">
        <f t="shared" si="275"/>
        <v>2144961316.3717284</v>
      </c>
      <c r="Y142" s="164">
        <f t="shared" si="275"/>
        <v>2052115187.2475669</v>
      </c>
      <c r="Z142" s="164">
        <f t="shared" si="275"/>
        <v>2183214709.1098428</v>
      </c>
      <c r="AA142" s="164">
        <f t="shared" si="275"/>
        <v>2234803383.3703971</v>
      </c>
      <c r="AB142" s="164">
        <f t="shared" si="275"/>
        <v>2289731724.690094</v>
      </c>
      <c r="AC142" s="164">
        <f t="shared" si="275"/>
        <v>2080872916.2529125</v>
      </c>
      <c r="AD142" s="164">
        <f t="shared" si="275"/>
        <v>2676453592.2312984</v>
      </c>
      <c r="AE142" s="164">
        <f t="shared" si="275"/>
        <v>2719642268.7603574</v>
      </c>
      <c r="AF142" s="219"/>
      <c r="AG142" s="219"/>
      <c r="AH142" s="219"/>
      <c r="AI142" s="219"/>
    </row>
    <row r="143" spans="2:35" x14ac:dyDescent="0.2">
      <c r="B143" s="9">
        <v>6</v>
      </c>
      <c r="C143" s="152" t="str">
        <f>'I1 General Inputs'!$C$20</f>
        <v>Option 5B</v>
      </c>
      <c r="D143" s="72"/>
      <c r="E143" s="77" t="s">
        <v>35</v>
      </c>
      <c r="F143" s="164">
        <v>0</v>
      </c>
      <c r="G143" s="164">
        <v>2536312939.3753495</v>
      </c>
      <c r="H143" s="164">
        <v>2303602349.5516524</v>
      </c>
      <c r="I143" s="164">
        <v>2218520628.5608921</v>
      </c>
      <c r="J143" s="164">
        <v>2136094766.7397914</v>
      </c>
      <c r="K143" s="164">
        <v>2188701359.6079245</v>
      </c>
      <c r="L143" s="164">
        <v>2145306706.3602638</v>
      </c>
      <c r="M143" s="164">
        <v>2091297911.5082409</v>
      </c>
      <c r="N143" s="164">
        <v>2264881282.6892209</v>
      </c>
      <c r="O143" s="164">
        <v>2079064980.5111015</v>
      </c>
      <c r="P143" s="164">
        <v>1926819104.6023998</v>
      </c>
      <c r="Q143" s="164">
        <v>1776576456.0661023</v>
      </c>
      <c r="R143" s="164">
        <v>1783263015.4578419</v>
      </c>
      <c r="S143" s="164">
        <v>1899389969.068718</v>
      </c>
      <c r="T143" s="164">
        <v>1930144298.3133504</v>
      </c>
      <c r="U143" s="164">
        <v>1885908532.40358</v>
      </c>
      <c r="V143" s="164">
        <v>1988731149.93945</v>
      </c>
      <c r="W143" s="164">
        <v>2076572465.4456017</v>
      </c>
      <c r="X143" s="164">
        <v>2137237770.9341185</v>
      </c>
      <c r="Y143" s="164">
        <v>2053368882.1595948</v>
      </c>
      <c r="Z143" s="164">
        <v>2160497514.2149639</v>
      </c>
      <c r="AA143" s="164">
        <v>2214908089.8443651</v>
      </c>
      <c r="AB143" s="164">
        <v>2248002625.0482836</v>
      </c>
      <c r="AC143" s="164">
        <v>2048280008.4002185</v>
      </c>
      <c r="AD143" s="164">
        <v>2672330931.652256</v>
      </c>
      <c r="AE143" s="164">
        <v>2703548817.5123591</v>
      </c>
      <c r="AF143" s="219"/>
      <c r="AG143" s="219"/>
      <c r="AH143" s="219"/>
      <c r="AI143" s="219"/>
    </row>
    <row r="144" spans="2:35" x14ac:dyDescent="0.2">
      <c r="E144" s="75"/>
    </row>
    <row r="145" spans="1:35" ht="15.75" x14ac:dyDescent="0.25">
      <c r="B145" s="69" t="s">
        <v>14</v>
      </c>
      <c r="C145" s="69" t="s">
        <v>13</v>
      </c>
      <c r="D145" s="69" t="s">
        <v>100</v>
      </c>
      <c r="E145" s="73" t="s">
        <v>7</v>
      </c>
      <c r="F145" s="69">
        <f>FirstYear</f>
        <v>2020</v>
      </c>
      <c r="G145" s="69">
        <f>+F145+1</f>
        <v>2021</v>
      </c>
      <c r="H145" s="69">
        <f t="shared" ref="H145" si="276">+G145+1</f>
        <v>2022</v>
      </c>
      <c r="I145" s="69">
        <f t="shared" ref="I145" si="277">+H145+1</f>
        <v>2023</v>
      </c>
      <c r="J145" s="69">
        <f t="shared" ref="J145" si="278">+I145+1</f>
        <v>2024</v>
      </c>
      <c r="K145" s="69">
        <f t="shared" ref="K145" si="279">+J145+1</f>
        <v>2025</v>
      </c>
      <c r="L145" s="69">
        <f t="shared" ref="L145" si="280">+K145+1</f>
        <v>2026</v>
      </c>
      <c r="M145" s="69">
        <f t="shared" ref="M145" si="281">+L145+1</f>
        <v>2027</v>
      </c>
      <c r="N145" s="69">
        <f t="shared" ref="N145" si="282">+M145+1</f>
        <v>2028</v>
      </c>
      <c r="O145" s="69">
        <f t="shared" ref="O145" si="283">+N145+1</f>
        <v>2029</v>
      </c>
      <c r="P145" s="69">
        <f t="shared" ref="P145" si="284">+O145+1</f>
        <v>2030</v>
      </c>
      <c r="Q145" s="69">
        <f t="shared" ref="Q145" si="285">+P145+1</f>
        <v>2031</v>
      </c>
      <c r="R145" s="69">
        <f t="shared" ref="R145" si="286">+Q145+1</f>
        <v>2032</v>
      </c>
      <c r="S145" s="69">
        <f t="shared" ref="S145" si="287">+R145+1</f>
        <v>2033</v>
      </c>
      <c r="T145" s="69">
        <f t="shared" ref="T145" si="288">+S145+1</f>
        <v>2034</v>
      </c>
      <c r="U145" s="69">
        <f t="shared" ref="U145" si="289">+T145+1</f>
        <v>2035</v>
      </c>
      <c r="V145" s="69">
        <f t="shared" ref="V145" si="290">+U145+1</f>
        <v>2036</v>
      </c>
      <c r="W145" s="69">
        <f t="shared" ref="W145" si="291">+V145+1</f>
        <v>2037</v>
      </c>
      <c r="X145" s="69">
        <f t="shared" ref="X145" si="292">+W145+1</f>
        <v>2038</v>
      </c>
      <c r="Y145" s="69">
        <f t="shared" ref="Y145" si="293">+X145+1</f>
        <v>2039</v>
      </c>
      <c r="Z145" s="69">
        <f t="shared" ref="Z145" si="294">+Y145+1</f>
        <v>2040</v>
      </c>
      <c r="AA145" s="69">
        <f t="shared" ref="AA145" si="295">+Z145+1</f>
        <v>2041</v>
      </c>
      <c r="AB145" s="69">
        <f t="shared" ref="AB145" si="296">+AA145+1</f>
        <v>2042</v>
      </c>
      <c r="AC145" s="69">
        <f t="shared" ref="AC145" si="297">+AB145+1</f>
        <v>2043</v>
      </c>
      <c r="AD145" s="69">
        <f t="shared" ref="AD145" si="298">+AC145+1</f>
        <v>2044</v>
      </c>
      <c r="AE145" s="69">
        <f t="shared" ref="AE145" si="299">+AD145+1</f>
        <v>2045</v>
      </c>
      <c r="AF145" s="218"/>
      <c r="AG145" s="218"/>
      <c r="AH145" s="218"/>
      <c r="AI145" s="218"/>
    </row>
    <row r="146" spans="1:35" x14ac:dyDescent="0.2">
      <c r="B146" s="9">
        <v>0</v>
      </c>
      <c r="C146" s="153" t="str">
        <f>'I1 General Inputs'!$C$14</f>
        <v>Base case</v>
      </c>
      <c r="D146" s="72"/>
      <c r="E146" s="77" t="s">
        <v>35</v>
      </c>
      <c r="F146" s="164">
        <v>0</v>
      </c>
      <c r="G146" s="164">
        <v>2704289271.8378263</v>
      </c>
      <c r="H146" s="164">
        <v>2541796745.8714166</v>
      </c>
      <c r="I146" s="164">
        <v>2562713608.4345474</v>
      </c>
      <c r="J146" s="164">
        <v>2578454052.0479465</v>
      </c>
      <c r="K146" s="164">
        <v>2469139738.4325829</v>
      </c>
      <c r="L146" s="164">
        <v>2309293641.2350593</v>
      </c>
      <c r="M146" s="164">
        <v>2165035571.6511421</v>
      </c>
      <c r="N146" s="164">
        <v>2311397381.2284551</v>
      </c>
      <c r="O146" s="164">
        <v>2275820102.3882513</v>
      </c>
      <c r="P146" s="164">
        <v>2091292462.429451</v>
      </c>
      <c r="Q146" s="164">
        <v>2078022343.7419405</v>
      </c>
      <c r="R146" s="164">
        <v>2043178518.314585</v>
      </c>
      <c r="S146" s="164">
        <v>2259997897.6473694</v>
      </c>
      <c r="T146" s="164">
        <v>2143485267.5722749</v>
      </c>
      <c r="U146" s="164">
        <v>1855696958.8196905</v>
      </c>
      <c r="V146" s="164">
        <v>2177296471.203475</v>
      </c>
      <c r="W146" s="164">
        <v>2041051986.708708</v>
      </c>
      <c r="X146" s="164">
        <v>1990460710.6501937</v>
      </c>
      <c r="Y146" s="164">
        <v>2323714006.0890193</v>
      </c>
      <c r="Z146" s="164">
        <v>2180843592.1629176</v>
      </c>
      <c r="AA146" s="164">
        <v>1956376352.9230361</v>
      </c>
      <c r="AB146" s="164">
        <v>2165300639.7613835</v>
      </c>
      <c r="AC146" s="164">
        <v>1565004648.2266386</v>
      </c>
      <c r="AD146" s="164">
        <v>2371198577.1479354</v>
      </c>
      <c r="AE146" s="164">
        <v>2263901432.7889605</v>
      </c>
      <c r="AF146" s="219"/>
      <c r="AG146" s="219"/>
      <c r="AH146" s="219"/>
      <c r="AI146" s="219"/>
    </row>
    <row r="147" spans="1:35" x14ac:dyDescent="0.2">
      <c r="B147" s="9">
        <v>1</v>
      </c>
      <c r="C147" s="152" t="str">
        <f>'I1 General Inputs'!$C$15</f>
        <v>Option 1A</v>
      </c>
      <c r="D147" s="72"/>
      <c r="E147" s="77" t="s">
        <v>35</v>
      </c>
      <c r="F147" s="164">
        <v>0</v>
      </c>
      <c r="G147" s="164">
        <v>2704289262.1410837</v>
      </c>
      <c r="H147" s="164">
        <v>2541873448.4643044</v>
      </c>
      <c r="I147" s="164">
        <v>2554731972.2554235</v>
      </c>
      <c r="J147" s="164">
        <v>2580968065.4409957</v>
      </c>
      <c r="K147" s="164">
        <v>2473895709.9125643</v>
      </c>
      <c r="L147" s="164">
        <v>2309176458.0938015</v>
      </c>
      <c r="M147" s="164">
        <v>2163119504.3639007</v>
      </c>
      <c r="N147" s="164">
        <v>2313776407.5247517</v>
      </c>
      <c r="O147" s="164">
        <v>2272933173.0977612</v>
      </c>
      <c r="P147" s="164">
        <v>2088817385.3122694</v>
      </c>
      <c r="Q147" s="164">
        <v>2070882983.0005274</v>
      </c>
      <c r="R147" s="164">
        <v>2034550350.4500871</v>
      </c>
      <c r="S147" s="164">
        <v>2254714216.7257576</v>
      </c>
      <c r="T147" s="164">
        <v>2131960164.4062736</v>
      </c>
      <c r="U147" s="164">
        <v>1857678711.6509771</v>
      </c>
      <c r="V147" s="164">
        <v>2175661802.4620624</v>
      </c>
      <c r="W147" s="164">
        <v>2030090087.357754</v>
      </c>
      <c r="X147" s="164">
        <v>1976016157.8916652</v>
      </c>
      <c r="Y147" s="164">
        <v>2305411881.6876216</v>
      </c>
      <c r="Z147" s="164">
        <v>2143698169.7643278</v>
      </c>
      <c r="AA147" s="164">
        <v>1916489649.3462427</v>
      </c>
      <c r="AB147" s="164">
        <v>2125368634.2768352</v>
      </c>
      <c r="AC147" s="164">
        <v>1543323021.0356944</v>
      </c>
      <c r="AD147" s="164">
        <v>2315978949.2078972</v>
      </c>
      <c r="AE147" s="164">
        <v>2198304610.952723</v>
      </c>
      <c r="AF147" s="219"/>
      <c r="AG147" s="219"/>
      <c r="AH147" s="219"/>
      <c r="AI147" s="219"/>
    </row>
    <row r="148" spans="1:35" x14ac:dyDescent="0.2">
      <c r="B148" s="9">
        <v>2</v>
      </c>
      <c r="C148" s="152" t="str">
        <f>'I1 General Inputs'!$C$16</f>
        <v>Option 1B</v>
      </c>
      <c r="D148" s="72"/>
      <c r="E148" s="77" t="s">
        <v>35</v>
      </c>
      <c r="F148" s="164">
        <v>0</v>
      </c>
      <c r="G148" s="164">
        <v>2704289270.5916853</v>
      </c>
      <c r="H148" s="164">
        <v>2541776244.7222171</v>
      </c>
      <c r="I148" s="164">
        <v>2556499605.2609434</v>
      </c>
      <c r="J148" s="164">
        <v>2580131643.4018054</v>
      </c>
      <c r="K148" s="164">
        <v>2468845919.956953</v>
      </c>
      <c r="L148" s="164">
        <v>2308107216.325223</v>
      </c>
      <c r="M148" s="164">
        <v>2162469995.9630413</v>
      </c>
      <c r="N148" s="164">
        <v>2309795642.7024894</v>
      </c>
      <c r="O148" s="164">
        <v>2273510045.1723661</v>
      </c>
      <c r="P148" s="164">
        <v>2089606589.8983505</v>
      </c>
      <c r="Q148" s="164">
        <v>2073002709.7855542</v>
      </c>
      <c r="R148" s="164">
        <v>2034569236.7553966</v>
      </c>
      <c r="S148" s="164">
        <v>2249343033.0899863</v>
      </c>
      <c r="T148" s="164">
        <v>2132689663.6342762</v>
      </c>
      <c r="U148" s="164">
        <v>1850552889.0624166</v>
      </c>
      <c r="V148" s="164">
        <v>2169840993.4394941</v>
      </c>
      <c r="W148" s="164">
        <v>2032711657.6809897</v>
      </c>
      <c r="X148" s="164">
        <v>1976953108.4775758</v>
      </c>
      <c r="Y148" s="164">
        <v>2306967336.8216958</v>
      </c>
      <c r="Z148" s="164">
        <v>2144626216.5797238</v>
      </c>
      <c r="AA148" s="164">
        <v>1916043382.9115312</v>
      </c>
      <c r="AB148" s="164">
        <v>2134483369.8537259</v>
      </c>
      <c r="AC148" s="164">
        <v>1543998578.7422876</v>
      </c>
      <c r="AD148" s="164">
        <v>2324584152.5546737</v>
      </c>
      <c r="AE148" s="164">
        <v>2206507595.4996228</v>
      </c>
      <c r="AF148" s="219"/>
      <c r="AG148" s="219"/>
      <c r="AH148" s="219"/>
      <c r="AI148" s="219"/>
    </row>
    <row r="149" spans="1:35" x14ac:dyDescent="0.2">
      <c r="B149" s="9">
        <v>3</v>
      </c>
      <c r="C149" s="152" t="str">
        <f>'I1 General Inputs'!$C$17</f>
        <v>Option 1C</v>
      </c>
      <c r="D149" s="72"/>
      <c r="E149" s="77" t="s">
        <v>35</v>
      </c>
      <c r="F149" s="164">
        <v>0</v>
      </c>
      <c r="G149" s="164">
        <v>2704289250.8532066</v>
      </c>
      <c r="H149" s="164">
        <v>2541874445.8091316</v>
      </c>
      <c r="I149" s="164">
        <v>2551599191.0856762</v>
      </c>
      <c r="J149" s="164">
        <v>2580207442.7431574</v>
      </c>
      <c r="K149" s="164">
        <v>2473880456.4578686</v>
      </c>
      <c r="L149" s="164">
        <v>2310829053.8852005</v>
      </c>
      <c r="M149" s="164">
        <v>2166948004.162272</v>
      </c>
      <c r="N149" s="164">
        <v>2317734433.2705646</v>
      </c>
      <c r="O149" s="164">
        <v>2277804491.01439</v>
      </c>
      <c r="P149" s="164">
        <v>2091264870.0818362</v>
      </c>
      <c r="Q149" s="164">
        <v>2076106784.0738721</v>
      </c>
      <c r="R149" s="164">
        <v>2044035255.0181785</v>
      </c>
      <c r="S149" s="164">
        <v>2266018470.6425571</v>
      </c>
      <c r="T149" s="164">
        <v>2148516346.5715203</v>
      </c>
      <c r="U149" s="164">
        <v>1866004139.0414212</v>
      </c>
      <c r="V149" s="164">
        <v>2186548710.9650345</v>
      </c>
      <c r="W149" s="164">
        <v>2038667101.4997883</v>
      </c>
      <c r="X149" s="164">
        <v>1989489519.327343</v>
      </c>
      <c r="Y149" s="164">
        <v>2321930784.2983828</v>
      </c>
      <c r="Z149" s="164">
        <v>2180209533.0484166</v>
      </c>
      <c r="AA149" s="164">
        <v>1957134968.5872376</v>
      </c>
      <c r="AB149" s="164">
        <v>2160165431.9395728</v>
      </c>
      <c r="AC149" s="164">
        <v>1565386021.1038675</v>
      </c>
      <c r="AD149" s="164">
        <v>2370787819.6774583</v>
      </c>
      <c r="AE149" s="164">
        <v>2262373813.2647963</v>
      </c>
      <c r="AF149" s="219"/>
      <c r="AG149" s="219"/>
      <c r="AH149" s="219"/>
      <c r="AI149" s="219"/>
    </row>
    <row r="150" spans="1:35" x14ac:dyDescent="0.2">
      <c r="B150" s="9">
        <v>4</v>
      </c>
      <c r="C150" s="152" t="str">
        <f>'I1 General Inputs'!$C$18</f>
        <v>Option 1D</v>
      </c>
      <c r="D150" s="72"/>
      <c r="E150" s="77" t="s">
        <v>35</v>
      </c>
      <c r="F150" s="164">
        <v>0</v>
      </c>
      <c r="G150" s="164">
        <v>2704289256.0318995</v>
      </c>
      <c r="H150" s="164">
        <v>2541853265.4999423</v>
      </c>
      <c r="I150" s="164">
        <v>2555841154.0861735</v>
      </c>
      <c r="J150" s="164">
        <v>2581391209.8356261</v>
      </c>
      <c r="K150" s="164">
        <v>2473575088.3341932</v>
      </c>
      <c r="L150" s="164">
        <v>2310744455.8356633</v>
      </c>
      <c r="M150" s="164">
        <v>2166935491.3419828</v>
      </c>
      <c r="N150" s="164">
        <v>2316397236.92665</v>
      </c>
      <c r="O150" s="164">
        <v>2277802277.8102484</v>
      </c>
      <c r="P150" s="164">
        <v>2091658540.8802066</v>
      </c>
      <c r="Q150" s="164">
        <v>2076537864.8890748</v>
      </c>
      <c r="R150" s="164">
        <v>2042035902.7405679</v>
      </c>
      <c r="S150" s="164">
        <v>2262845819.3417168</v>
      </c>
      <c r="T150" s="164">
        <v>2145971560.5768573</v>
      </c>
      <c r="U150" s="164">
        <v>1857913432.0530381</v>
      </c>
      <c r="V150" s="164">
        <v>2176933430.2722778</v>
      </c>
      <c r="W150" s="164">
        <v>2038438110.1065784</v>
      </c>
      <c r="X150" s="164">
        <v>1989215926.4411371</v>
      </c>
      <c r="Y150" s="164">
        <v>2321990487.5373249</v>
      </c>
      <c r="Z150" s="164">
        <v>2178768745.340054</v>
      </c>
      <c r="AA150" s="164">
        <v>1955942768.6735885</v>
      </c>
      <c r="AB150" s="164">
        <v>2162412895.8403449</v>
      </c>
      <c r="AC150" s="164">
        <v>1565458866.2620881</v>
      </c>
      <c r="AD150" s="164">
        <v>2372013981.5209937</v>
      </c>
      <c r="AE150" s="164">
        <v>2262050146.1037917</v>
      </c>
      <c r="AF150" s="219"/>
      <c r="AG150" s="219"/>
      <c r="AH150" s="219"/>
      <c r="AI150" s="219"/>
    </row>
    <row r="151" spans="1:35" x14ac:dyDescent="0.2">
      <c r="B151" s="9">
        <v>5</v>
      </c>
      <c r="C151" s="152" t="str">
        <f>'I1 General Inputs'!$C$19</f>
        <v>Option 5A</v>
      </c>
      <c r="D151" s="72"/>
      <c r="E151" s="77" t="s">
        <v>35</v>
      </c>
      <c r="F151" s="164">
        <v>0</v>
      </c>
      <c r="G151" s="164">
        <f>G146-(G146-G152)*$L$15</f>
        <v>2704289271.8378263</v>
      </c>
      <c r="H151" s="164">
        <f t="shared" ref="H151:AE151" si="300">H146-(H146-H152)*$L$15</f>
        <v>2541796745.8714166</v>
      </c>
      <c r="I151" s="164">
        <f t="shared" si="300"/>
        <v>2562713608.4345474</v>
      </c>
      <c r="J151" s="164">
        <f t="shared" si="300"/>
        <v>2578454052.0479465</v>
      </c>
      <c r="K151" s="164">
        <f t="shared" si="300"/>
        <v>2469139738.4325829</v>
      </c>
      <c r="L151" s="164">
        <f t="shared" si="300"/>
        <v>2309293641.2350593</v>
      </c>
      <c r="M151" s="164">
        <f t="shared" si="300"/>
        <v>2165035571.6511421</v>
      </c>
      <c r="N151" s="164">
        <f t="shared" si="300"/>
        <v>2311397381.2284551</v>
      </c>
      <c r="O151" s="164">
        <f t="shared" si="300"/>
        <v>2275820102.3882513</v>
      </c>
      <c r="P151" s="164">
        <f t="shared" si="300"/>
        <v>2091292462.429451</v>
      </c>
      <c r="Q151" s="164">
        <f t="shared" si="300"/>
        <v>2078022343.7419405</v>
      </c>
      <c r="R151" s="164">
        <f t="shared" si="300"/>
        <v>2043178518.314585</v>
      </c>
      <c r="S151" s="164">
        <f t="shared" si="300"/>
        <v>2259997897.6473694</v>
      </c>
      <c r="T151" s="164">
        <f t="shared" si="300"/>
        <v>2143485267.5722749</v>
      </c>
      <c r="U151" s="164">
        <f t="shared" si="300"/>
        <v>1855696958.8196905</v>
      </c>
      <c r="V151" s="164">
        <f t="shared" si="300"/>
        <v>2177296471.203475</v>
      </c>
      <c r="W151" s="164">
        <f t="shared" si="300"/>
        <v>2041051986.708708</v>
      </c>
      <c r="X151" s="164">
        <f t="shared" si="300"/>
        <v>1990460710.6501937</v>
      </c>
      <c r="Y151" s="164">
        <f t="shared" si="300"/>
        <v>2323714006.0890193</v>
      </c>
      <c r="Z151" s="164">
        <f t="shared" si="300"/>
        <v>2180843592.1629176</v>
      </c>
      <c r="AA151" s="164">
        <f t="shared" si="300"/>
        <v>1956376352.9230361</v>
      </c>
      <c r="AB151" s="164">
        <f t="shared" si="300"/>
        <v>2165300639.7613835</v>
      </c>
      <c r="AC151" s="164">
        <f t="shared" si="300"/>
        <v>1565004648.2266386</v>
      </c>
      <c r="AD151" s="164">
        <f t="shared" si="300"/>
        <v>2371198577.1479354</v>
      </c>
      <c r="AE151" s="164">
        <f t="shared" si="300"/>
        <v>2263901432.7889605</v>
      </c>
      <c r="AF151" s="219"/>
      <c r="AG151" s="219"/>
      <c r="AH151" s="219"/>
      <c r="AI151" s="219"/>
    </row>
    <row r="152" spans="1:35" x14ac:dyDescent="0.2">
      <c r="B152" s="9">
        <v>6</v>
      </c>
      <c r="C152" s="152" t="str">
        <f>'I1 General Inputs'!$C$20</f>
        <v>Option 5B</v>
      </c>
      <c r="D152" s="72"/>
      <c r="E152" s="77" t="s">
        <v>35</v>
      </c>
      <c r="F152" s="164">
        <v>0</v>
      </c>
      <c r="G152" s="164">
        <v>2704289251.8583674</v>
      </c>
      <c r="H152" s="164">
        <v>2541878511.1012387</v>
      </c>
      <c r="I152" s="164">
        <v>2557434207.6938939</v>
      </c>
      <c r="J152" s="164">
        <v>2580045961.4624376</v>
      </c>
      <c r="K152" s="164">
        <v>2474885961.8029623</v>
      </c>
      <c r="L152" s="164">
        <v>2309101366.2222548</v>
      </c>
      <c r="M152" s="164">
        <v>2163582662.5019541</v>
      </c>
      <c r="N152" s="164">
        <v>2313535724.8151875</v>
      </c>
      <c r="O152" s="164">
        <v>2267930491.0874114</v>
      </c>
      <c r="P152" s="164">
        <v>2090810404.6780813</v>
      </c>
      <c r="Q152" s="164">
        <v>2070327019.5137963</v>
      </c>
      <c r="R152" s="164">
        <v>2033674189.2253189</v>
      </c>
      <c r="S152" s="164">
        <v>2251714613.2492795</v>
      </c>
      <c r="T152" s="164">
        <v>2129185978.1368451</v>
      </c>
      <c r="U152" s="164">
        <v>1854454231.7578278</v>
      </c>
      <c r="V152" s="164">
        <v>2170132301.6135683</v>
      </c>
      <c r="W152" s="164">
        <v>2027969514.7167296</v>
      </c>
      <c r="X152" s="164">
        <v>1972895240.162621</v>
      </c>
      <c r="Y152" s="164">
        <v>2300202174.0668783</v>
      </c>
      <c r="Z152" s="164">
        <v>2138466630.2815187</v>
      </c>
      <c r="AA152" s="164">
        <v>1910269416.0727844</v>
      </c>
      <c r="AB152" s="164">
        <v>2121635433.6555707</v>
      </c>
      <c r="AC152" s="164">
        <v>1539483678.9792738</v>
      </c>
      <c r="AD152" s="164">
        <v>2306302571.8584991</v>
      </c>
      <c r="AE152" s="164">
        <v>2187630804.8644018</v>
      </c>
      <c r="AF152" s="219"/>
      <c r="AG152" s="219"/>
      <c r="AH152" s="219"/>
      <c r="AI152" s="219"/>
    </row>
    <row r="153" spans="1:35" x14ac:dyDescent="0.2">
      <c r="E153" s="75"/>
    </row>
    <row r="154" spans="1:35" ht="15.75" x14ac:dyDescent="0.25">
      <c r="B154" s="68" t="s">
        <v>29</v>
      </c>
      <c r="C154" s="68"/>
      <c r="D154" s="68"/>
      <c r="E154" s="142" t="s">
        <v>30</v>
      </c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145"/>
      <c r="AG154" s="145"/>
      <c r="AH154" s="145"/>
      <c r="AI154" s="145"/>
    </row>
    <row r="155" spans="1:35" s="56" customFormat="1" ht="15.75" x14ac:dyDescent="0.25">
      <c r="A155" s="110"/>
      <c r="B155" s="145"/>
      <c r="C155" s="145"/>
      <c r="D155" s="145"/>
      <c r="E155" s="146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</row>
    <row r="156" spans="1:35" ht="15.75" x14ac:dyDescent="0.25">
      <c r="B156" s="69" t="s">
        <v>14</v>
      </c>
      <c r="C156" s="69" t="s">
        <v>13</v>
      </c>
      <c r="D156" s="94" t="s">
        <v>115</v>
      </c>
      <c r="E156" s="73" t="s">
        <v>7</v>
      </c>
      <c r="F156" s="69">
        <f>FirstYear</f>
        <v>2020</v>
      </c>
      <c r="G156" s="69">
        <f>+F156+1</f>
        <v>2021</v>
      </c>
      <c r="H156" s="69">
        <f t="shared" ref="H156" si="301">+G156+1</f>
        <v>2022</v>
      </c>
      <c r="I156" s="69">
        <f t="shared" ref="I156" si="302">+H156+1</f>
        <v>2023</v>
      </c>
      <c r="J156" s="69">
        <f t="shared" ref="J156" si="303">+I156+1</f>
        <v>2024</v>
      </c>
      <c r="K156" s="69">
        <f t="shared" ref="K156" si="304">+J156+1</f>
        <v>2025</v>
      </c>
      <c r="L156" s="69">
        <f t="shared" ref="L156" si="305">+K156+1</f>
        <v>2026</v>
      </c>
      <c r="M156" s="69">
        <f t="shared" ref="M156" si="306">+L156+1</f>
        <v>2027</v>
      </c>
      <c r="N156" s="69">
        <f t="shared" ref="N156" si="307">+M156+1</f>
        <v>2028</v>
      </c>
      <c r="O156" s="69">
        <f t="shared" ref="O156" si="308">+N156+1</f>
        <v>2029</v>
      </c>
      <c r="P156" s="69">
        <f t="shared" ref="P156" si="309">+O156+1</f>
        <v>2030</v>
      </c>
      <c r="Q156" s="69">
        <f t="shared" ref="Q156" si="310">+P156+1</f>
        <v>2031</v>
      </c>
      <c r="R156" s="69">
        <f t="shared" ref="R156" si="311">+Q156+1</f>
        <v>2032</v>
      </c>
      <c r="S156" s="69">
        <f t="shared" ref="S156" si="312">+R156+1</f>
        <v>2033</v>
      </c>
      <c r="T156" s="69">
        <f t="shared" ref="T156" si="313">+S156+1</f>
        <v>2034</v>
      </c>
      <c r="U156" s="69">
        <f t="shared" ref="U156" si="314">+T156+1</f>
        <v>2035</v>
      </c>
      <c r="V156" s="69">
        <f t="shared" ref="V156" si="315">+U156+1</f>
        <v>2036</v>
      </c>
      <c r="W156" s="69">
        <f t="shared" ref="W156" si="316">+V156+1</f>
        <v>2037</v>
      </c>
      <c r="X156" s="69">
        <f t="shared" ref="X156" si="317">+W156+1</f>
        <v>2038</v>
      </c>
      <c r="Y156" s="69">
        <f t="shared" ref="Y156" si="318">+X156+1</f>
        <v>2039</v>
      </c>
      <c r="Z156" s="69">
        <f t="shared" ref="Z156" si="319">+Y156+1</f>
        <v>2040</v>
      </c>
      <c r="AA156" s="69">
        <f t="shared" ref="AA156" si="320">+Z156+1</f>
        <v>2041</v>
      </c>
      <c r="AB156" s="69">
        <f t="shared" ref="AB156" si="321">+AA156+1</f>
        <v>2042</v>
      </c>
      <c r="AC156" s="69">
        <f t="shared" ref="AC156" si="322">+AB156+1</f>
        <v>2043</v>
      </c>
      <c r="AD156" s="69">
        <f t="shared" ref="AD156" si="323">+AC156+1</f>
        <v>2044</v>
      </c>
      <c r="AE156" s="69">
        <f t="shared" ref="AE156" si="324">+AD156+1</f>
        <v>2045</v>
      </c>
      <c r="AF156" s="218"/>
      <c r="AG156" s="218"/>
      <c r="AH156" s="218"/>
      <c r="AI156" s="218"/>
    </row>
    <row r="157" spans="1:35" x14ac:dyDescent="0.2">
      <c r="B157" s="9">
        <v>0</v>
      </c>
      <c r="C157" s="153" t="str">
        <f>'I1 General Inputs'!$C$14</f>
        <v>Base case</v>
      </c>
      <c r="D157" s="72"/>
      <c r="E157" s="77" t="s">
        <v>35</v>
      </c>
      <c r="F157" s="164">
        <v>0</v>
      </c>
      <c r="G157" s="164">
        <v>941133.7458877</v>
      </c>
      <c r="H157" s="164">
        <v>267355.92971565848</v>
      </c>
      <c r="I157" s="164">
        <v>10063506.253256379</v>
      </c>
      <c r="J157" s="164">
        <v>8170114.6978436727</v>
      </c>
      <c r="K157" s="164">
        <v>4278374.0845678244</v>
      </c>
      <c r="L157" s="164">
        <v>6.2001400582626172</v>
      </c>
      <c r="M157" s="164">
        <v>2864.8637179577936</v>
      </c>
      <c r="N157" s="164">
        <v>16576.517151152344</v>
      </c>
      <c r="O157" s="164">
        <v>1913325.7327187397</v>
      </c>
      <c r="P157" s="164">
        <v>2195137.1739075561</v>
      </c>
      <c r="Q157" s="164">
        <v>1402482.3355295444</v>
      </c>
      <c r="R157" s="164">
        <v>1158761.097910505</v>
      </c>
      <c r="S157" s="164">
        <v>5235695.5426151659</v>
      </c>
      <c r="T157" s="164">
        <v>4615840.591936837</v>
      </c>
      <c r="U157" s="164">
        <v>5177555.606969811</v>
      </c>
      <c r="V157" s="164">
        <v>12091727.680740817</v>
      </c>
      <c r="W157" s="164">
        <v>19150.305612714765</v>
      </c>
      <c r="X157" s="164">
        <v>107843.83742724919</v>
      </c>
      <c r="Y157" s="164">
        <v>4989026.4631396187</v>
      </c>
      <c r="Z157" s="164">
        <v>19838668.597956169</v>
      </c>
      <c r="AA157" s="164">
        <v>9353153.438716365</v>
      </c>
      <c r="AB157" s="164">
        <v>8974993.4629196618</v>
      </c>
      <c r="AC157" s="164">
        <v>25491353.960965067</v>
      </c>
      <c r="AD157" s="164">
        <v>23376937.051312041</v>
      </c>
      <c r="AE157" s="164">
        <v>20.203861818015529</v>
      </c>
      <c r="AF157" s="219"/>
      <c r="AG157" s="219"/>
      <c r="AH157" s="219"/>
      <c r="AI157" s="219"/>
    </row>
    <row r="158" spans="1:35" x14ac:dyDescent="0.2">
      <c r="B158" s="9">
        <v>1</v>
      </c>
      <c r="C158" s="152" t="str">
        <f>'I1 General Inputs'!$C$15</f>
        <v>Option 1A</v>
      </c>
      <c r="D158" s="72"/>
      <c r="E158" s="77" t="s">
        <v>35</v>
      </c>
      <c r="F158" s="164">
        <v>0</v>
      </c>
      <c r="G158" s="164">
        <v>941131.28930217191</v>
      </c>
      <c r="H158" s="164">
        <v>267353.30567504693</v>
      </c>
      <c r="I158" s="164">
        <v>9910206.2614312004</v>
      </c>
      <c r="J158" s="164">
        <v>7999464.505853056</v>
      </c>
      <c r="K158" s="164">
        <v>4246457.9494395936</v>
      </c>
      <c r="L158" s="164">
        <v>2.8416720381182135</v>
      </c>
      <c r="M158" s="164">
        <v>2.9922376520106524</v>
      </c>
      <c r="N158" s="164">
        <v>15039.689853748519</v>
      </c>
      <c r="O158" s="164">
        <v>1868282.7434043842</v>
      </c>
      <c r="P158" s="164">
        <v>2188291.9211541098</v>
      </c>
      <c r="Q158" s="164">
        <v>1416447.9282657776</v>
      </c>
      <c r="R158" s="164">
        <v>1143125.7537864209</v>
      </c>
      <c r="S158" s="164">
        <v>4468687.5933514712</v>
      </c>
      <c r="T158" s="164">
        <v>4205533.6706663882</v>
      </c>
      <c r="U158" s="164">
        <v>4135451.25296643</v>
      </c>
      <c r="V158" s="164">
        <v>10059376.290082457</v>
      </c>
      <c r="W158" s="164">
        <v>19150.271932943873</v>
      </c>
      <c r="X158" s="164">
        <v>158017.34987918346</v>
      </c>
      <c r="Y158" s="164">
        <v>5340098.2576548345</v>
      </c>
      <c r="Z158" s="164">
        <v>14295644.567449233</v>
      </c>
      <c r="AA158" s="164">
        <v>12519546.432693368</v>
      </c>
      <c r="AB158" s="164">
        <v>5737033.6468938366</v>
      </c>
      <c r="AC158" s="164">
        <v>25139653.637208343</v>
      </c>
      <c r="AD158" s="164">
        <v>23465316.516170699</v>
      </c>
      <c r="AE158" s="164">
        <v>9.2587039545761769</v>
      </c>
      <c r="AF158" s="219"/>
      <c r="AG158" s="219"/>
      <c r="AH158" s="219"/>
      <c r="AI158" s="219"/>
    </row>
    <row r="159" spans="1:35" x14ac:dyDescent="0.2">
      <c r="B159" s="9">
        <v>2</v>
      </c>
      <c r="C159" s="152" t="str">
        <f>'I1 General Inputs'!$C$16</f>
        <v>Option 1B</v>
      </c>
      <c r="D159" s="72"/>
      <c r="E159" s="77" t="s">
        <v>35</v>
      </c>
      <c r="F159" s="164">
        <v>0</v>
      </c>
      <c r="G159" s="164">
        <v>941138.07214636006</v>
      </c>
      <c r="H159" s="164">
        <v>267360.50470720301</v>
      </c>
      <c r="I159" s="164">
        <v>10063460.854473237</v>
      </c>
      <c r="J159" s="164">
        <v>7984894.1098981155</v>
      </c>
      <c r="K159" s="164">
        <v>4266363.2839166904</v>
      </c>
      <c r="L159" s="164">
        <v>12.033570664326056</v>
      </c>
      <c r="M159" s="164">
        <v>3362.1963444048124</v>
      </c>
      <c r="N159" s="164">
        <v>17298.660042664756</v>
      </c>
      <c r="O159" s="164">
        <v>1519586.7171386313</v>
      </c>
      <c r="P159" s="164">
        <v>2118093.4891239665</v>
      </c>
      <c r="Q159" s="164">
        <v>1491705.6366932532</v>
      </c>
      <c r="R159" s="164">
        <v>1146035.7371532214</v>
      </c>
      <c r="S159" s="164">
        <v>5059241.6807535775</v>
      </c>
      <c r="T159" s="164">
        <v>5013879.8322138311</v>
      </c>
      <c r="U159" s="164">
        <v>5583815.394247164</v>
      </c>
      <c r="V159" s="164">
        <v>11520188.6246038</v>
      </c>
      <c r="W159" s="164">
        <v>31813.413993809139</v>
      </c>
      <c r="X159" s="164">
        <v>147357.50552623122</v>
      </c>
      <c r="Y159" s="164">
        <v>5590185.6749429367</v>
      </c>
      <c r="Z159" s="164">
        <v>19674068.212131981</v>
      </c>
      <c r="AA159" s="164">
        <v>9683653.8707207572</v>
      </c>
      <c r="AB159" s="164">
        <v>9307503.6827284954</v>
      </c>
      <c r="AC159" s="164">
        <v>25793306.250867903</v>
      </c>
      <c r="AD159" s="164">
        <v>23659944.007515125</v>
      </c>
      <c r="AE159" s="164">
        <v>39.204260015513967</v>
      </c>
      <c r="AF159" s="219"/>
      <c r="AG159" s="219"/>
      <c r="AH159" s="219"/>
      <c r="AI159" s="219"/>
    </row>
    <row r="160" spans="1:35" x14ac:dyDescent="0.2">
      <c r="B160" s="9">
        <v>3</v>
      </c>
      <c r="C160" s="152" t="str">
        <f>'I1 General Inputs'!$C$17</f>
        <v>Option 1C</v>
      </c>
      <c r="D160" s="72"/>
      <c r="E160" s="77" t="s">
        <v>35</v>
      </c>
      <c r="F160" s="164">
        <v>0</v>
      </c>
      <c r="G160" s="164">
        <v>941131.57273150398</v>
      </c>
      <c r="H160" s="164">
        <v>267353.604857912</v>
      </c>
      <c r="I160" s="164">
        <v>9695687.2616811357</v>
      </c>
      <c r="J160" s="164">
        <v>8126001.8342636907</v>
      </c>
      <c r="K160" s="164">
        <v>3991413.929156885</v>
      </c>
      <c r="L160" s="164">
        <v>3.2360321979489086</v>
      </c>
      <c r="M160" s="164">
        <v>3.4112070883369592</v>
      </c>
      <c r="N160" s="164">
        <v>3902.202339855336</v>
      </c>
      <c r="O160" s="164">
        <v>1828279.7411255345</v>
      </c>
      <c r="P160" s="164">
        <v>2247998.3180321534</v>
      </c>
      <c r="Q160" s="164">
        <v>851473.93451126863</v>
      </c>
      <c r="R160" s="164">
        <v>1175452.3759361755</v>
      </c>
      <c r="S160" s="164">
        <v>5247663.6960649146</v>
      </c>
      <c r="T160" s="164">
        <v>3219851.826179924</v>
      </c>
      <c r="U160" s="164">
        <v>4585575.9114717171</v>
      </c>
      <c r="V160" s="164">
        <v>10026817.261286447</v>
      </c>
      <c r="W160" s="164">
        <v>6.7893397847386625</v>
      </c>
      <c r="X160" s="164">
        <v>90326.836245069891</v>
      </c>
      <c r="Y160" s="164">
        <v>4597788.3448857171</v>
      </c>
      <c r="Z160" s="164">
        <v>16606532.216615871</v>
      </c>
      <c r="AA160" s="164">
        <v>13280049.527884198</v>
      </c>
      <c r="AB160" s="164">
        <v>6918479.425338082</v>
      </c>
      <c r="AC160" s="164">
        <v>24770240.939028125</v>
      </c>
      <c r="AD160" s="164">
        <v>27246472.061630115</v>
      </c>
      <c r="AE160" s="164">
        <v>10.53499801925275</v>
      </c>
      <c r="AF160" s="219"/>
      <c r="AG160" s="219"/>
      <c r="AH160" s="219"/>
      <c r="AI160" s="219"/>
    </row>
    <row r="161" spans="2:35" x14ac:dyDescent="0.2">
      <c r="B161" s="9">
        <v>4</v>
      </c>
      <c r="C161" s="152" t="str">
        <f>'I1 General Inputs'!$C$18</f>
        <v>Option 1D</v>
      </c>
      <c r="D161" s="72"/>
      <c r="E161" s="77" t="s">
        <v>35</v>
      </c>
      <c r="F161" s="164">
        <v>0</v>
      </c>
      <c r="G161" s="164">
        <v>941131.08889968402</v>
      </c>
      <c r="H161" s="164">
        <v>267353.19993588573</v>
      </c>
      <c r="I161" s="164">
        <v>9669765.0497513711</v>
      </c>
      <c r="J161" s="164">
        <v>8147358.5880631041</v>
      </c>
      <c r="K161" s="164">
        <v>4110189.3916038661</v>
      </c>
      <c r="L161" s="164">
        <v>2.7005460969462849</v>
      </c>
      <c r="M161" s="164">
        <v>2.8469280133945842</v>
      </c>
      <c r="N161" s="164">
        <v>8183.1766493026171</v>
      </c>
      <c r="O161" s="164">
        <v>1830522.2024621461</v>
      </c>
      <c r="P161" s="164">
        <v>2179293.5621210267</v>
      </c>
      <c r="Q161" s="164">
        <v>985390.90551939071</v>
      </c>
      <c r="R161" s="164">
        <v>1167839.1844130482</v>
      </c>
      <c r="S161" s="164">
        <v>5519338.3606095584</v>
      </c>
      <c r="T161" s="164">
        <v>4321997.3312824992</v>
      </c>
      <c r="U161" s="164">
        <v>5138905.2083918573</v>
      </c>
      <c r="V161" s="164">
        <v>10958232.854544003</v>
      </c>
      <c r="W161" s="164">
        <v>6572.5344454989781</v>
      </c>
      <c r="X161" s="164">
        <v>105330.01943506872</v>
      </c>
      <c r="Y161" s="164">
        <v>4768872.1168737728</v>
      </c>
      <c r="Z161" s="164">
        <v>19144367.904208798</v>
      </c>
      <c r="AA161" s="164">
        <v>11818480.583518995</v>
      </c>
      <c r="AB161" s="164">
        <v>8326470.0395867219</v>
      </c>
      <c r="AC161" s="164">
        <v>25490472.532083258</v>
      </c>
      <c r="AD161" s="164">
        <v>23237994.479755353</v>
      </c>
      <c r="AE161" s="164">
        <v>8.7925359249719897</v>
      </c>
      <c r="AF161" s="219"/>
      <c r="AG161" s="219"/>
      <c r="AH161" s="219"/>
      <c r="AI161" s="219"/>
    </row>
    <row r="162" spans="2:35" x14ac:dyDescent="0.2">
      <c r="B162" s="9">
        <v>5</v>
      </c>
      <c r="C162" s="152" t="str">
        <f>'I1 General Inputs'!$C$19</f>
        <v>Option 5A</v>
      </c>
      <c r="D162" s="72"/>
      <c r="E162" s="77" t="s">
        <v>35</v>
      </c>
      <c r="F162" s="164">
        <v>0</v>
      </c>
      <c r="G162" s="164">
        <f>G157-(G157-G163)*$L$15</f>
        <v>941133.7458877</v>
      </c>
      <c r="H162" s="164">
        <f t="shared" ref="H162:AE162" si="325">H157-(H157-H163)*$L$15</f>
        <v>267355.92971565848</v>
      </c>
      <c r="I162" s="164">
        <f t="shared" si="325"/>
        <v>10063506.253256379</v>
      </c>
      <c r="J162" s="164">
        <f t="shared" si="325"/>
        <v>8170114.6978436727</v>
      </c>
      <c r="K162" s="164">
        <f t="shared" si="325"/>
        <v>4278374.0845678244</v>
      </c>
      <c r="L162" s="164">
        <f t="shared" si="325"/>
        <v>6.2001400582626172</v>
      </c>
      <c r="M162" s="164">
        <f t="shared" si="325"/>
        <v>2864.8637179577936</v>
      </c>
      <c r="N162" s="164">
        <f t="shared" si="325"/>
        <v>16576.517151152344</v>
      </c>
      <c r="O162" s="164">
        <f t="shared" si="325"/>
        <v>1913325.7327187397</v>
      </c>
      <c r="P162" s="164">
        <f t="shared" si="325"/>
        <v>2195137.1739075561</v>
      </c>
      <c r="Q162" s="164">
        <f t="shared" si="325"/>
        <v>1402482.3355295444</v>
      </c>
      <c r="R162" s="164">
        <f t="shared" si="325"/>
        <v>1158761.097910505</v>
      </c>
      <c r="S162" s="164">
        <f t="shared" si="325"/>
        <v>5235695.5426151659</v>
      </c>
      <c r="T162" s="164">
        <f t="shared" si="325"/>
        <v>4615840.591936837</v>
      </c>
      <c r="U162" s="164">
        <f t="shared" si="325"/>
        <v>5177555.606969811</v>
      </c>
      <c r="V162" s="164">
        <f t="shared" si="325"/>
        <v>12091727.680740817</v>
      </c>
      <c r="W162" s="164">
        <f t="shared" si="325"/>
        <v>19150.305612714765</v>
      </c>
      <c r="X162" s="164">
        <f t="shared" si="325"/>
        <v>107843.83742724919</v>
      </c>
      <c r="Y162" s="164">
        <f t="shared" si="325"/>
        <v>4989026.4631396187</v>
      </c>
      <c r="Z162" s="164">
        <f t="shared" si="325"/>
        <v>19838668.597956169</v>
      </c>
      <c r="AA162" s="164">
        <f t="shared" si="325"/>
        <v>9353153.438716365</v>
      </c>
      <c r="AB162" s="164">
        <f t="shared" si="325"/>
        <v>8974993.4629196618</v>
      </c>
      <c r="AC162" s="164">
        <f t="shared" si="325"/>
        <v>25491353.960965067</v>
      </c>
      <c r="AD162" s="164">
        <f t="shared" si="325"/>
        <v>23376937.051312041</v>
      </c>
      <c r="AE162" s="164">
        <f t="shared" si="325"/>
        <v>20.203861818015529</v>
      </c>
      <c r="AF162" s="219"/>
      <c r="AG162" s="219"/>
      <c r="AH162" s="219"/>
      <c r="AI162" s="219"/>
    </row>
    <row r="163" spans="2:35" x14ac:dyDescent="0.2">
      <c r="B163" s="9">
        <v>6</v>
      </c>
      <c r="C163" s="152" t="str">
        <f>'I1 General Inputs'!$C$20</f>
        <v>Option 5B</v>
      </c>
      <c r="D163" s="72"/>
      <c r="E163" s="77" t="s">
        <v>35</v>
      </c>
      <c r="F163" s="164">
        <v>0</v>
      </c>
      <c r="G163" s="164">
        <v>941132.52633783501</v>
      </c>
      <c r="H163" s="164">
        <v>267354.66463242652</v>
      </c>
      <c r="I163" s="164">
        <v>10061616.440001363</v>
      </c>
      <c r="J163" s="164">
        <v>8219422.8667865554</v>
      </c>
      <c r="K163" s="164">
        <v>4206963.6669040546</v>
      </c>
      <c r="L163" s="164">
        <v>4.5674338884026113</v>
      </c>
      <c r="M163" s="164">
        <v>10.309175150750054</v>
      </c>
      <c r="N163" s="164">
        <v>15766.873829065824</v>
      </c>
      <c r="O163" s="164">
        <v>1929128.5569357553</v>
      </c>
      <c r="P163" s="164">
        <v>2177193.2762349481</v>
      </c>
      <c r="Q163" s="164">
        <v>1146407.9396375327</v>
      </c>
      <c r="R163" s="164">
        <v>1144210.6639061416</v>
      </c>
      <c r="S163" s="164">
        <v>4855096.550930677</v>
      </c>
      <c r="T163" s="164">
        <v>3836012.5039846213</v>
      </c>
      <c r="U163" s="164">
        <v>5449280.9364027176</v>
      </c>
      <c r="V163" s="164">
        <v>10084381.889927309</v>
      </c>
      <c r="W163" s="164">
        <v>23462.383465212046</v>
      </c>
      <c r="X163" s="164">
        <v>165117.1930188413</v>
      </c>
      <c r="Y163" s="164">
        <v>5268343.671401077</v>
      </c>
      <c r="Z163" s="164">
        <v>16915755.068881374</v>
      </c>
      <c r="AA163" s="164">
        <v>13395346.342814617</v>
      </c>
      <c r="AB163" s="164">
        <v>6218992.9286342161</v>
      </c>
      <c r="AC163" s="164">
        <v>25292884.210287347</v>
      </c>
      <c r="AD163" s="164">
        <v>22945841.913225658</v>
      </c>
      <c r="AE163" s="164">
        <v>14.887155174722247</v>
      </c>
      <c r="AF163" s="219"/>
      <c r="AG163" s="219"/>
      <c r="AH163" s="219"/>
      <c r="AI163" s="219"/>
    </row>
    <row r="164" spans="2:35" x14ac:dyDescent="0.2">
      <c r="E164" s="75"/>
    </row>
    <row r="165" spans="2:35" ht="15.75" x14ac:dyDescent="0.25">
      <c r="B165" s="69" t="s">
        <v>14</v>
      </c>
      <c r="C165" s="69" t="s">
        <v>13</v>
      </c>
      <c r="D165" s="94" t="s">
        <v>116</v>
      </c>
      <c r="E165" s="73" t="s">
        <v>7</v>
      </c>
      <c r="F165" s="69">
        <f>FirstYear</f>
        <v>2020</v>
      </c>
      <c r="G165" s="69">
        <f>+F165+1</f>
        <v>2021</v>
      </c>
      <c r="H165" s="69">
        <f t="shared" ref="H165" si="326">+G165+1</f>
        <v>2022</v>
      </c>
      <c r="I165" s="69">
        <f t="shared" ref="I165" si="327">+H165+1</f>
        <v>2023</v>
      </c>
      <c r="J165" s="69">
        <f t="shared" ref="J165" si="328">+I165+1</f>
        <v>2024</v>
      </c>
      <c r="K165" s="69">
        <f t="shared" ref="K165" si="329">+J165+1</f>
        <v>2025</v>
      </c>
      <c r="L165" s="69">
        <f t="shared" ref="L165" si="330">+K165+1</f>
        <v>2026</v>
      </c>
      <c r="M165" s="69">
        <f t="shared" ref="M165" si="331">+L165+1</f>
        <v>2027</v>
      </c>
      <c r="N165" s="69">
        <f t="shared" ref="N165" si="332">+M165+1</f>
        <v>2028</v>
      </c>
      <c r="O165" s="69">
        <f t="shared" ref="O165" si="333">+N165+1</f>
        <v>2029</v>
      </c>
      <c r="P165" s="69">
        <f t="shared" ref="P165" si="334">+O165+1</f>
        <v>2030</v>
      </c>
      <c r="Q165" s="69">
        <f t="shared" ref="Q165" si="335">+P165+1</f>
        <v>2031</v>
      </c>
      <c r="R165" s="69">
        <f t="shared" ref="R165" si="336">+Q165+1</f>
        <v>2032</v>
      </c>
      <c r="S165" s="69">
        <f t="shared" ref="S165" si="337">+R165+1</f>
        <v>2033</v>
      </c>
      <c r="T165" s="69">
        <f t="shared" ref="T165" si="338">+S165+1</f>
        <v>2034</v>
      </c>
      <c r="U165" s="69">
        <f t="shared" ref="U165" si="339">+T165+1</f>
        <v>2035</v>
      </c>
      <c r="V165" s="69">
        <f t="shared" ref="V165" si="340">+U165+1</f>
        <v>2036</v>
      </c>
      <c r="W165" s="69">
        <f t="shared" ref="W165" si="341">+V165+1</f>
        <v>2037</v>
      </c>
      <c r="X165" s="69">
        <f t="shared" ref="X165" si="342">+W165+1</f>
        <v>2038</v>
      </c>
      <c r="Y165" s="69">
        <f t="shared" ref="Y165" si="343">+X165+1</f>
        <v>2039</v>
      </c>
      <c r="Z165" s="69">
        <f t="shared" ref="Z165" si="344">+Y165+1</f>
        <v>2040</v>
      </c>
      <c r="AA165" s="69">
        <f t="shared" ref="AA165" si="345">+Z165+1</f>
        <v>2041</v>
      </c>
      <c r="AB165" s="69">
        <f t="shared" ref="AB165" si="346">+AA165+1</f>
        <v>2042</v>
      </c>
      <c r="AC165" s="69">
        <f t="shared" ref="AC165" si="347">+AB165+1</f>
        <v>2043</v>
      </c>
      <c r="AD165" s="69">
        <f t="shared" ref="AD165" si="348">+AC165+1</f>
        <v>2044</v>
      </c>
      <c r="AE165" s="69">
        <f t="shared" ref="AE165" si="349">+AD165+1</f>
        <v>2045</v>
      </c>
      <c r="AF165" s="218"/>
      <c r="AG165" s="218"/>
      <c r="AH165" s="218"/>
      <c r="AI165" s="218"/>
    </row>
    <row r="166" spans="2:35" x14ac:dyDescent="0.2">
      <c r="B166" s="9">
        <v>0</v>
      </c>
      <c r="C166" s="153" t="str">
        <f>'I1 General Inputs'!$C$14</f>
        <v>Base case</v>
      </c>
      <c r="D166" s="72"/>
      <c r="E166" s="77" t="s">
        <v>35</v>
      </c>
      <c r="F166" s="164">
        <v>0</v>
      </c>
      <c r="G166" s="164">
        <v>29519.226594156</v>
      </c>
      <c r="H166" s="164">
        <v>267354.52635650476</v>
      </c>
      <c r="I166" s="164">
        <v>4376696.5009159781</v>
      </c>
      <c r="J166" s="164">
        <v>7773176.6435087072</v>
      </c>
      <c r="K166" s="164">
        <v>7910721.0231850836</v>
      </c>
      <c r="L166" s="164">
        <v>4.5773884155020008</v>
      </c>
      <c r="M166" s="164">
        <v>4.7476691386641203</v>
      </c>
      <c r="N166" s="164">
        <v>5.2561740630164948</v>
      </c>
      <c r="O166" s="164">
        <v>1308526.9055842473</v>
      </c>
      <c r="P166" s="164">
        <v>1308784.3069775004</v>
      </c>
      <c r="Q166" s="164">
        <v>784293.74800314277</v>
      </c>
      <c r="R166" s="164">
        <v>1443401.0567104975</v>
      </c>
      <c r="S166" s="164">
        <v>2174049.8341929144</v>
      </c>
      <c r="T166" s="164">
        <v>5516271.7298463881</v>
      </c>
      <c r="U166" s="164">
        <v>4957710.3261355581</v>
      </c>
      <c r="V166" s="164">
        <v>15523725.00451809</v>
      </c>
      <c r="W166" s="164">
        <v>9.220015104353525</v>
      </c>
      <c r="X166" s="164">
        <v>9.8294236944069624</v>
      </c>
      <c r="Y166" s="164">
        <v>3785620.8123524394</v>
      </c>
      <c r="Z166" s="164">
        <v>20963425.428797249</v>
      </c>
      <c r="AA166" s="164">
        <v>8282882.0671884753</v>
      </c>
      <c r="AB166" s="164">
        <v>25307997.253619973</v>
      </c>
      <c r="AC166" s="164">
        <v>25194845.168487363</v>
      </c>
      <c r="AD166" s="164">
        <v>271249933.4874655</v>
      </c>
      <c r="AE166" s="164">
        <v>441686715.35730571</v>
      </c>
      <c r="AF166" s="219"/>
      <c r="AG166" s="219"/>
      <c r="AH166" s="219"/>
      <c r="AI166" s="219"/>
    </row>
    <row r="167" spans="2:35" x14ac:dyDescent="0.2">
      <c r="B167" s="9">
        <v>1</v>
      </c>
      <c r="C167" s="152" t="str">
        <f>'I1 General Inputs'!$C$15</f>
        <v>Option 1A</v>
      </c>
      <c r="D167" s="72"/>
      <c r="E167" s="77" t="s">
        <v>35</v>
      </c>
      <c r="F167" s="164">
        <v>0</v>
      </c>
      <c r="G167" s="164">
        <v>29519.105424884001</v>
      </c>
      <c r="H167" s="164">
        <v>267354.40248981258</v>
      </c>
      <c r="I167" s="164">
        <v>4057906.9732059073</v>
      </c>
      <c r="J167" s="164">
        <v>8112104.147381261</v>
      </c>
      <c r="K167" s="164">
        <v>7996002.8533923589</v>
      </c>
      <c r="L167" s="164">
        <v>4.4078072493130946</v>
      </c>
      <c r="M167" s="164">
        <v>4.5707571477528086</v>
      </c>
      <c r="N167" s="164">
        <v>5.059073641456088</v>
      </c>
      <c r="O167" s="164">
        <v>1361491.1395743373</v>
      </c>
      <c r="P167" s="164">
        <v>1322159.0542050353</v>
      </c>
      <c r="Q167" s="164">
        <v>769062.56766396889</v>
      </c>
      <c r="R167" s="164">
        <v>1407671.4139484898</v>
      </c>
      <c r="S167" s="164">
        <v>2296926.3413094017</v>
      </c>
      <c r="T167" s="164">
        <v>4511437.084769085</v>
      </c>
      <c r="U167" s="164">
        <v>3213215.0690783928</v>
      </c>
      <c r="V167" s="164">
        <v>10458402.816840405</v>
      </c>
      <c r="W167" s="164">
        <v>8.8791578716064876</v>
      </c>
      <c r="X167" s="164">
        <v>9.4599046983112842</v>
      </c>
      <c r="Y167" s="164">
        <v>3732775.1180006731</v>
      </c>
      <c r="Z167" s="164">
        <v>13118365.447671527</v>
      </c>
      <c r="AA167" s="164">
        <v>6827438.6721421098</v>
      </c>
      <c r="AB167" s="164">
        <v>9832671.4292821866</v>
      </c>
      <c r="AC167" s="164">
        <v>20021410.755259007</v>
      </c>
      <c r="AD167" s="164">
        <v>243936366.62561157</v>
      </c>
      <c r="AE167" s="164">
        <v>395781354.58791363</v>
      </c>
      <c r="AF167" s="219"/>
      <c r="AG167" s="219"/>
      <c r="AH167" s="219"/>
      <c r="AI167" s="219"/>
    </row>
    <row r="168" spans="2:35" x14ac:dyDescent="0.2">
      <c r="B168" s="9">
        <v>2</v>
      </c>
      <c r="C168" s="152" t="str">
        <f>'I1 General Inputs'!$C$16</f>
        <v>Option 1B</v>
      </c>
      <c r="D168" s="72"/>
      <c r="E168" s="77" t="s">
        <v>35</v>
      </c>
      <c r="F168" s="164">
        <v>0</v>
      </c>
      <c r="G168" s="164">
        <v>29522.826406349992</v>
      </c>
      <c r="H168" s="164">
        <v>267358.30983138544</v>
      </c>
      <c r="I168" s="164">
        <v>4303400.2282846654</v>
      </c>
      <c r="J168" s="164">
        <v>8359746.0726565896</v>
      </c>
      <c r="K168" s="164">
        <v>7991651.0157508682</v>
      </c>
      <c r="L168" s="164">
        <v>9.6120101351911273</v>
      </c>
      <c r="M168" s="164">
        <v>9.9666278021028454</v>
      </c>
      <c r="N168" s="164">
        <v>11.036978979806959</v>
      </c>
      <c r="O168" s="164">
        <v>1400423.6087514535</v>
      </c>
      <c r="P168" s="164">
        <v>1297263.4585736347</v>
      </c>
      <c r="Q168" s="164">
        <v>775771.44094212609</v>
      </c>
      <c r="R168" s="164">
        <v>1498443.3761195296</v>
      </c>
      <c r="S168" s="164">
        <v>2297654.9066168116</v>
      </c>
      <c r="T168" s="164">
        <v>5504116.34642429</v>
      </c>
      <c r="U168" s="164">
        <v>5190170.7524303021</v>
      </c>
      <c r="V168" s="164">
        <v>16121933.583768902</v>
      </c>
      <c r="W168" s="164">
        <v>19.36804249046229</v>
      </c>
      <c r="X168" s="164">
        <v>20.651815957791413</v>
      </c>
      <c r="Y168" s="164">
        <v>3731968.6865242948</v>
      </c>
      <c r="Z168" s="164">
        <v>20955092.239561759</v>
      </c>
      <c r="AA168" s="164">
        <v>8901960.5765736774</v>
      </c>
      <c r="AB168" s="164">
        <v>10700986.380573941</v>
      </c>
      <c r="AC168" s="164">
        <v>24064966.638244815</v>
      </c>
      <c r="AD168" s="164">
        <v>245752236.62385193</v>
      </c>
      <c r="AE168" s="164">
        <v>401090191.77951211</v>
      </c>
      <c r="AF168" s="219"/>
      <c r="AG168" s="219"/>
      <c r="AH168" s="219"/>
      <c r="AI168" s="219"/>
    </row>
    <row r="169" spans="2:35" x14ac:dyDescent="0.2">
      <c r="B169" s="9">
        <v>3</v>
      </c>
      <c r="C169" s="152" t="str">
        <f>'I1 General Inputs'!$C$17</f>
        <v>Option 1C</v>
      </c>
      <c r="D169" s="72"/>
      <c r="E169" s="77" t="s">
        <v>35</v>
      </c>
      <c r="F169" s="164">
        <v>0</v>
      </c>
      <c r="G169" s="164">
        <v>29518.479319031001</v>
      </c>
      <c r="H169" s="164">
        <v>267353.74710804777</v>
      </c>
      <c r="I169" s="164">
        <v>3800491.1315779686</v>
      </c>
      <c r="J169" s="164">
        <v>7787980.7859303327</v>
      </c>
      <c r="K169" s="164">
        <v>7900900.4455859028</v>
      </c>
      <c r="L169" s="164">
        <v>3.5339151815621999</v>
      </c>
      <c r="M169" s="164">
        <v>3.664921705241003</v>
      </c>
      <c r="N169" s="164">
        <v>4.0580506261071116</v>
      </c>
      <c r="O169" s="164">
        <v>1273526.2858976549</v>
      </c>
      <c r="P169" s="164">
        <v>1310327.4243870764</v>
      </c>
      <c r="Q169" s="164">
        <v>693934.9882965791</v>
      </c>
      <c r="R169" s="164">
        <v>1388848.3216077718</v>
      </c>
      <c r="S169" s="164">
        <v>2058251.7474490174</v>
      </c>
      <c r="T169" s="164">
        <v>4503452.8334640563</v>
      </c>
      <c r="U169" s="164">
        <v>3270874.8550960706</v>
      </c>
      <c r="V169" s="164">
        <v>11163877.63483062</v>
      </c>
      <c r="W169" s="164">
        <v>7.1120222799320363</v>
      </c>
      <c r="X169" s="164">
        <v>7.5825300898896151</v>
      </c>
      <c r="Y169" s="164">
        <v>3785894.8186271489</v>
      </c>
      <c r="Z169" s="164">
        <v>13451715.184885606</v>
      </c>
      <c r="AA169" s="164">
        <v>6286121.5575927077</v>
      </c>
      <c r="AB169" s="164">
        <v>24504952.580838006</v>
      </c>
      <c r="AC169" s="164">
        <v>21602007.648170508</v>
      </c>
      <c r="AD169" s="164">
        <v>273485225.15710062</v>
      </c>
      <c r="AE169" s="164">
        <v>444712109.71690899</v>
      </c>
      <c r="AF169" s="219"/>
      <c r="AG169" s="219"/>
      <c r="AH169" s="219"/>
      <c r="AI169" s="219"/>
    </row>
    <row r="170" spans="2:35" x14ac:dyDescent="0.2">
      <c r="B170" s="9">
        <v>4</v>
      </c>
      <c r="C170" s="152" t="str">
        <f>'I1 General Inputs'!$C$18</f>
        <v>Option 1D</v>
      </c>
      <c r="D170" s="72"/>
      <c r="E170" s="77" t="s">
        <v>35</v>
      </c>
      <c r="F170" s="164">
        <v>0</v>
      </c>
      <c r="G170" s="164">
        <v>29523.051418310002</v>
      </c>
      <c r="H170" s="164">
        <v>267358.55922628782</v>
      </c>
      <c r="I170" s="164">
        <v>4062399.1223009392</v>
      </c>
      <c r="J170" s="164">
        <v>7786322.8311848575</v>
      </c>
      <c r="K170" s="164">
        <v>7882472.2236668253</v>
      </c>
      <c r="L170" s="164">
        <v>9.9211569815459839</v>
      </c>
      <c r="M170" s="164">
        <v>10.290188505090661</v>
      </c>
      <c r="N170" s="164">
        <v>11.392527693211619</v>
      </c>
      <c r="O170" s="164">
        <v>1272097.9342171354</v>
      </c>
      <c r="P170" s="164">
        <v>1310012.6951349322</v>
      </c>
      <c r="Q170" s="164">
        <v>692734.97158708517</v>
      </c>
      <c r="R170" s="164">
        <v>1433087.591908393</v>
      </c>
      <c r="S170" s="164">
        <v>2058261.7922180176</v>
      </c>
      <c r="T170" s="164">
        <v>4865780.7655371996</v>
      </c>
      <c r="U170" s="164">
        <v>4072889.8142158068</v>
      </c>
      <c r="V170" s="164">
        <v>15529320.160923056</v>
      </c>
      <c r="W170" s="164">
        <v>19.965580527156607</v>
      </c>
      <c r="X170" s="164">
        <v>21.290154684816958</v>
      </c>
      <c r="Y170" s="164">
        <v>3792994.4543451108</v>
      </c>
      <c r="Z170" s="164">
        <v>21081082.439441524</v>
      </c>
      <c r="AA170" s="164">
        <v>8179197.7029209482</v>
      </c>
      <c r="AB170" s="164">
        <v>24803566.343233101</v>
      </c>
      <c r="AC170" s="164">
        <v>24718888.018413201</v>
      </c>
      <c r="AD170" s="164">
        <v>272034015.99208486</v>
      </c>
      <c r="AE170" s="164">
        <v>440028916.03689963</v>
      </c>
      <c r="AF170" s="219"/>
      <c r="AG170" s="219"/>
      <c r="AH170" s="219"/>
      <c r="AI170" s="219"/>
    </row>
    <row r="171" spans="2:35" x14ac:dyDescent="0.2">
      <c r="B171" s="9">
        <v>5</v>
      </c>
      <c r="C171" s="152" t="str">
        <f>'I1 General Inputs'!$C$19</f>
        <v>Option 5A</v>
      </c>
      <c r="D171" s="72"/>
      <c r="E171" s="77" t="s">
        <v>35</v>
      </c>
      <c r="F171" s="164">
        <v>0</v>
      </c>
      <c r="G171" s="164">
        <f>G166-(G166-G172)*$L$15</f>
        <v>29519.226594156</v>
      </c>
      <c r="H171" s="164">
        <f t="shared" ref="H171:AE171" si="350">H166-(H166-H172)*$L$15</f>
        <v>267354.52635650476</v>
      </c>
      <c r="I171" s="164">
        <f t="shared" si="350"/>
        <v>4376696.5009159781</v>
      </c>
      <c r="J171" s="164">
        <f t="shared" si="350"/>
        <v>7773176.6435087072</v>
      </c>
      <c r="K171" s="164">
        <f t="shared" si="350"/>
        <v>7910721.0231850836</v>
      </c>
      <c r="L171" s="164">
        <f t="shared" si="350"/>
        <v>4.5773884155020008</v>
      </c>
      <c r="M171" s="164">
        <f t="shared" si="350"/>
        <v>4.7476691386641203</v>
      </c>
      <c r="N171" s="164">
        <f t="shared" si="350"/>
        <v>5.2561740630164948</v>
      </c>
      <c r="O171" s="164">
        <f t="shared" si="350"/>
        <v>1308526.9055842473</v>
      </c>
      <c r="P171" s="164">
        <f t="shared" si="350"/>
        <v>1308784.3069775004</v>
      </c>
      <c r="Q171" s="164">
        <f t="shared" si="350"/>
        <v>784293.74800314277</v>
      </c>
      <c r="R171" s="164">
        <f t="shared" si="350"/>
        <v>1443401.0567104975</v>
      </c>
      <c r="S171" s="164">
        <f t="shared" si="350"/>
        <v>2174049.8341929144</v>
      </c>
      <c r="T171" s="164">
        <f t="shared" si="350"/>
        <v>5516271.7298463881</v>
      </c>
      <c r="U171" s="164">
        <f t="shared" si="350"/>
        <v>4957710.3261355581</v>
      </c>
      <c r="V171" s="164">
        <f t="shared" si="350"/>
        <v>15523725.00451809</v>
      </c>
      <c r="W171" s="164">
        <f t="shared" si="350"/>
        <v>9.220015104353525</v>
      </c>
      <c r="X171" s="164">
        <f t="shared" si="350"/>
        <v>9.8294236944069624</v>
      </c>
      <c r="Y171" s="164">
        <f t="shared" si="350"/>
        <v>3785620.8123524394</v>
      </c>
      <c r="Z171" s="164">
        <f t="shared" si="350"/>
        <v>20963425.428797249</v>
      </c>
      <c r="AA171" s="164">
        <f t="shared" si="350"/>
        <v>8282882.0671884753</v>
      </c>
      <c r="AB171" s="164">
        <f t="shared" si="350"/>
        <v>25307997.253619973</v>
      </c>
      <c r="AC171" s="164">
        <f t="shared" si="350"/>
        <v>25194845.168487363</v>
      </c>
      <c r="AD171" s="164">
        <f t="shared" si="350"/>
        <v>271249933.4874655</v>
      </c>
      <c r="AE171" s="164">
        <f t="shared" si="350"/>
        <v>441686715.35730571</v>
      </c>
      <c r="AF171" s="219"/>
      <c r="AG171" s="219"/>
      <c r="AH171" s="219"/>
      <c r="AI171" s="219"/>
    </row>
    <row r="172" spans="2:35" x14ac:dyDescent="0.2">
      <c r="B172" s="9">
        <v>6</v>
      </c>
      <c r="C172" s="152" t="str">
        <f>'I1 General Inputs'!$C$20</f>
        <v>Option 5B</v>
      </c>
      <c r="D172" s="72"/>
      <c r="E172" s="77" t="s">
        <v>35</v>
      </c>
      <c r="F172" s="164">
        <v>0</v>
      </c>
      <c r="G172" s="164">
        <v>29523.413790810006</v>
      </c>
      <c r="H172" s="164">
        <v>267358.93779605109</v>
      </c>
      <c r="I172" s="164">
        <v>4370661.6331864102</v>
      </c>
      <c r="J172" s="164">
        <v>7814770.4521786934</v>
      </c>
      <c r="K172" s="164">
        <v>7975436.8874227451</v>
      </c>
      <c r="L172" s="164">
        <v>10.429685235690176</v>
      </c>
      <c r="M172" s="164">
        <v>10.815765504272516</v>
      </c>
      <c r="N172" s="164">
        <v>11.967542598044266</v>
      </c>
      <c r="O172" s="164">
        <v>1347487.5902971763</v>
      </c>
      <c r="P172" s="164">
        <v>1314635.5428062095</v>
      </c>
      <c r="Q172" s="164">
        <v>768779.75881911558</v>
      </c>
      <c r="R172" s="164">
        <v>1445917.6231276537</v>
      </c>
      <c r="S172" s="164">
        <v>2176038.0253555859</v>
      </c>
      <c r="T172" s="164">
        <v>4584229.293221632</v>
      </c>
      <c r="U172" s="164">
        <v>3881799.3729652939</v>
      </c>
      <c r="V172" s="164">
        <v>12629926.587235525</v>
      </c>
      <c r="W172" s="164">
        <v>21.00662569477339</v>
      </c>
      <c r="X172" s="164">
        <v>22.386060231178927</v>
      </c>
      <c r="Y172" s="164">
        <v>3752921.9504752699</v>
      </c>
      <c r="Z172" s="164">
        <v>13865486.96889961</v>
      </c>
      <c r="AA172" s="164">
        <v>6952814.9887262471</v>
      </c>
      <c r="AB172" s="164">
        <v>9244252.9409051463</v>
      </c>
      <c r="AC172" s="164">
        <v>20442571.09164558</v>
      </c>
      <c r="AD172" s="164">
        <v>240222906.99679688</v>
      </c>
      <c r="AE172" s="164">
        <v>386386016.86262453</v>
      </c>
      <c r="AF172" s="219"/>
      <c r="AG172" s="219"/>
      <c r="AH172" s="219"/>
      <c r="AI172" s="219"/>
    </row>
    <row r="173" spans="2:35" x14ac:dyDescent="0.2">
      <c r="E173" s="75"/>
    </row>
    <row r="174" spans="2:35" ht="15.75" x14ac:dyDescent="0.25">
      <c r="B174" s="69" t="s">
        <v>14</v>
      </c>
      <c r="C174" s="69" t="s">
        <v>13</v>
      </c>
      <c r="D174" s="69" t="s">
        <v>99</v>
      </c>
      <c r="E174" s="73" t="s">
        <v>7</v>
      </c>
      <c r="F174" s="69">
        <f>FirstYear</f>
        <v>2020</v>
      </c>
      <c r="G174" s="69">
        <f>+F174+1</f>
        <v>2021</v>
      </c>
      <c r="H174" s="69">
        <f t="shared" ref="H174" si="351">+G174+1</f>
        <v>2022</v>
      </c>
      <c r="I174" s="69">
        <f t="shared" ref="I174" si="352">+H174+1</f>
        <v>2023</v>
      </c>
      <c r="J174" s="69">
        <f t="shared" ref="J174" si="353">+I174+1</f>
        <v>2024</v>
      </c>
      <c r="K174" s="69">
        <f t="shared" ref="K174" si="354">+J174+1</f>
        <v>2025</v>
      </c>
      <c r="L174" s="69">
        <f t="shared" ref="L174" si="355">+K174+1</f>
        <v>2026</v>
      </c>
      <c r="M174" s="69">
        <f t="shared" ref="M174" si="356">+L174+1</f>
        <v>2027</v>
      </c>
      <c r="N174" s="69">
        <f t="shared" ref="N174" si="357">+M174+1</f>
        <v>2028</v>
      </c>
      <c r="O174" s="69">
        <f t="shared" ref="O174" si="358">+N174+1</f>
        <v>2029</v>
      </c>
      <c r="P174" s="69">
        <f t="shared" ref="P174" si="359">+O174+1</f>
        <v>2030</v>
      </c>
      <c r="Q174" s="69">
        <f t="shared" ref="Q174" si="360">+P174+1</f>
        <v>2031</v>
      </c>
      <c r="R174" s="69">
        <f t="shared" ref="R174" si="361">+Q174+1</f>
        <v>2032</v>
      </c>
      <c r="S174" s="69">
        <f t="shared" ref="S174" si="362">+R174+1</f>
        <v>2033</v>
      </c>
      <c r="T174" s="69">
        <f t="shared" ref="T174" si="363">+S174+1</f>
        <v>2034</v>
      </c>
      <c r="U174" s="69">
        <f t="shared" ref="U174" si="364">+T174+1</f>
        <v>2035</v>
      </c>
      <c r="V174" s="69">
        <f t="shared" ref="V174" si="365">+U174+1</f>
        <v>2036</v>
      </c>
      <c r="W174" s="69">
        <f t="shared" ref="W174" si="366">+V174+1</f>
        <v>2037</v>
      </c>
      <c r="X174" s="69">
        <f t="shared" ref="X174" si="367">+W174+1</f>
        <v>2038</v>
      </c>
      <c r="Y174" s="69">
        <f t="shared" ref="Y174" si="368">+X174+1</f>
        <v>2039</v>
      </c>
      <c r="Z174" s="69">
        <f t="shared" ref="Z174" si="369">+Y174+1</f>
        <v>2040</v>
      </c>
      <c r="AA174" s="69">
        <f t="shared" ref="AA174" si="370">+Z174+1</f>
        <v>2041</v>
      </c>
      <c r="AB174" s="69">
        <f t="shared" ref="AB174" si="371">+AA174+1</f>
        <v>2042</v>
      </c>
      <c r="AC174" s="69">
        <f t="shared" ref="AC174" si="372">+AB174+1</f>
        <v>2043</v>
      </c>
      <c r="AD174" s="69">
        <f t="shared" ref="AD174" si="373">+AC174+1</f>
        <v>2044</v>
      </c>
      <c r="AE174" s="69">
        <f t="shared" ref="AE174" si="374">+AD174+1</f>
        <v>2045</v>
      </c>
      <c r="AF174" s="218"/>
      <c r="AG174" s="218"/>
      <c r="AH174" s="218"/>
      <c r="AI174" s="218"/>
    </row>
    <row r="175" spans="2:35" x14ac:dyDescent="0.2">
      <c r="B175" s="9">
        <v>0</v>
      </c>
      <c r="C175" s="153" t="str">
        <f>'I1 General Inputs'!$C$14</f>
        <v>Base case</v>
      </c>
      <c r="D175" s="72"/>
      <c r="E175" s="77" t="s">
        <v>35</v>
      </c>
      <c r="F175" s="164">
        <v>0</v>
      </c>
      <c r="G175" s="164">
        <v>234075.33887934001</v>
      </c>
      <c r="H175" s="164">
        <v>52671.916611987217</v>
      </c>
      <c r="I175" s="164">
        <v>865072.90168052504</v>
      </c>
      <c r="J175" s="164">
        <v>586519.70355492726</v>
      </c>
      <c r="K175" s="164">
        <v>869715.16217215965</v>
      </c>
      <c r="L175" s="164">
        <v>795082.74841237382</v>
      </c>
      <c r="M175" s="164">
        <v>617262.01457525464</v>
      </c>
      <c r="N175" s="164">
        <v>829767.0139598964</v>
      </c>
      <c r="O175" s="164">
        <v>2701530.6140205739</v>
      </c>
      <c r="P175" s="164">
        <v>762371.39542271418</v>
      </c>
      <c r="Q175" s="164">
        <v>8.1262810715149261</v>
      </c>
      <c r="R175" s="164">
        <v>906033.19964203401</v>
      </c>
      <c r="S175" s="164">
        <v>2540335.9821502934</v>
      </c>
      <c r="T175" s="164">
        <v>2743990.301407869</v>
      </c>
      <c r="U175" s="164">
        <v>1447390.9777120468</v>
      </c>
      <c r="V175" s="164">
        <v>3621766.4556461703</v>
      </c>
      <c r="W175" s="164">
        <v>2271665.1902125208</v>
      </c>
      <c r="X175" s="164">
        <v>3749689.5327089354</v>
      </c>
      <c r="Y175" s="164">
        <v>3521761.2428226573</v>
      </c>
      <c r="Z175" s="164">
        <v>6370296.6861336101</v>
      </c>
      <c r="AA175" s="164">
        <v>4667717.663360754</v>
      </c>
      <c r="AB175" s="164">
        <v>3845305.5214243727</v>
      </c>
      <c r="AC175" s="164">
        <v>7711068.1870313575</v>
      </c>
      <c r="AD175" s="164">
        <v>5148777.9953551954</v>
      </c>
      <c r="AE175" s="164">
        <v>141877.42409337565</v>
      </c>
      <c r="AF175" s="219"/>
      <c r="AG175" s="219"/>
      <c r="AH175" s="219"/>
      <c r="AI175" s="219"/>
    </row>
    <row r="176" spans="2:35" x14ac:dyDescent="0.2">
      <c r="B176" s="9">
        <v>1</v>
      </c>
      <c r="C176" s="152" t="str">
        <f>'I1 General Inputs'!$C$15</f>
        <v>Option 1A</v>
      </c>
      <c r="D176" s="72"/>
      <c r="E176" s="77" t="s">
        <v>35</v>
      </c>
      <c r="F176" s="164">
        <v>0</v>
      </c>
      <c r="G176" s="164">
        <v>234070.88510252201</v>
      </c>
      <c r="H176" s="164">
        <v>52667.229436892718</v>
      </c>
      <c r="I176" s="164">
        <v>871844.56342833804</v>
      </c>
      <c r="J176" s="164">
        <v>484462.13910367561</v>
      </c>
      <c r="K176" s="164">
        <v>880447.29888921289</v>
      </c>
      <c r="L176" s="164">
        <v>773834.44098451012</v>
      </c>
      <c r="M176" s="164">
        <v>645801.39978539106</v>
      </c>
      <c r="N176" s="164">
        <v>721949.78083049401</v>
      </c>
      <c r="O176" s="164">
        <v>2857703.7021094412</v>
      </c>
      <c r="P176" s="164">
        <v>800570.03920583089</v>
      </c>
      <c r="Q176" s="164">
        <v>0.42990849626831851</v>
      </c>
      <c r="R176" s="164">
        <v>917510.8282354566</v>
      </c>
      <c r="S176" s="164">
        <v>2723472.8667831798</v>
      </c>
      <c r="T176" s="164">
        <v>2787438.6969968434</v>
      </c>
      <c r="U176" s="164">
        <v>1487711.7926970606</v>
      </c>
      <c r="V176" s="164">
        <v>3430534.421496944</v>
      </c>
      <c r="W176" s="164">
        <v>2489081.1545747761</v>
      </c>
      <c r="X176" s="164">
        <v>3558910.1281596175</v>
      </c>
      <c r="Y176" s="164">
        <v>3447390.4007531679</v>
      </c>
      <c r="Z176" s="164">
        <v>6226202.2635563677</v>
      </c>
      <c r="AA176" s="164">
        <v>4898972.3538308013</v>
      </c>
      <c r="AB176" s="164">
        <v>3858794.0686323964</v>
      </c>
      <c r="AC176" s="164">
        <v>7572914.1053299438</v>
      </c>
      <c r="AD176" s="164">
        <v>6432647.6893665744</v>
      </c>
      <c r="AE176" s="164">
        <v>135121.18084099339</v>
      </c>
      <c r="AF176" s="219"/>
      <c r="AG176" s="219"/>
      <c r="AH176" s="219"/>
      <c r="AI176" s="219"/>
    </row>
    <row r="177" spans="2:35" x14ac:dyDescent="0.2">
      <c r="B177" s="9">
        <v>2</v>
      </c>
      <c r="C177" s="152" t="str">
        <f>'I1 General Inputs'!$C$16</f>
        <v>Option 1B</v>
      </c>
      <c r="D177" s="72"/>
      <c r="E177" s="77" t="s">
        <v>35</v>
      </c>
      <c r="F177" s="164">
        <v>0</v>
      </c>
      <c r="G177" s="164">
        <v>234070.896149437</v>
      </c>
      <c r="H177" s="164">
        <v>52667.236137423461</v>
      </c>
      <c r="I177" s="164">
        <v>865068.19064645877</v>
      </c>
      <c r="J177" s="164">
        <v>586514.53323237377</v>
      </c>
      <c r="K177" s="164">
        <v>869709.61370651214</v>
      </c>
      <c r="L177" s="164">
        <v>793552.04527130362</v>
      </c>
      <c r="M177" s="164">
        <v>614186.39433833142</v>
      </c>
      <c r="N177" s="164">
        <v>826950.26513855474</v>
      </c>
      <c r="O177" s="164">
        <v>2693382.3374694944</v>
      </c>
      <c r="P177" s="164">
        <v>762377.79315123847</v>
      </c>
      <c r="Q177" s="164">
        <v>0.44208713242784353</v>
      </c>
      <c r="R177" s="164">
        <v>891340.65926665231</v>
      </c>
      <c r="S177" s="164">
        <v>2564642.9208759028</v>
      </c>
      <c r="T177" s="164">
        <v>2800606.8404886317</v>
      </c>
      <c r="U177" s="164">
        <v>1458684.3839235818</v>
      </c>
      <c r="V177" s="164">
        <v>3566407.2126385411</v>
      </c>
      <c r="W177" s="164">
        <v>2452611.1093333256</v>
      </c>
      <c r="X177" s="164">
        <v>3698323.2290693386</v>
      </c>
      <c r="Y177" s="164">
        <v>3659200.4197497326</v>
      </c>
      <c r="Z177" s="164">
        <v>5785657.954319017</v>
      </c>
      <c r="AA177" s="164">
        <v>4823304.4367154343</v>
      </c>
      <c r="AB177" s="164">
        <v>3941845.400862603</v>
      </c>
      <c r="AC177" s="164">
        <v>7904619.7980636256</v>
      </c>
      <c r="AD177" s="164">
        <v>6600846.2472004173</v>
      </c>
      <c r="AE177" s="164">
        <v>176735.99280434256</v>
      </c>
      <c r="AF177" s="219"/>
      <c r="AG177" s="219"/>
      <c r="AH177" s="219"/>
      <c r="AI177" s="219"/>
    </row>
    <row r="178" spans="2:35" x14ac:dyDescent="0.2">
      <c r="B178" s="9">
        <v>3</v>
      </c>
      <c r="C178" s="152" t="str">
        <f>'I1 General Inputs'!$C$17</f>
        <v>Option 1C</v>
      </c>
      <c r="D178" s="72"/>
      <c r="E178" s="77" t="s">
        <v>35</v>
      </c>
      <c r="F178" s="164">
        <v>0</v>
      </c>
      <c r="G178" s="164">
        <v>234071.060136343</v>
      </c>
      <c r="H178" s="164">
        <v>52667.401474987695</v>
      </c>
      <c r="I178" s="164">
        <v>892417.57167668</v>
      </c>
      <c r="J178" s="164">
        <v>518793.37212742277</v>
      </c>
      <c r="K178" s="164">
        <v>880433.50283743802</v>
      </c>
      <c r="L178" s="164">
        <v>773834.64842406136</v>
      </c>
      <c r="M178" s="164">
        <v>645801.58407322678</v>
      </c>
      <c r="N178" s="164">
        <v>721950.07636970712</v>
      </c>
      <c r="O178" s="164">
        <v>2928020.06047488</v>
      </c>
      <c r="P178" s="164">
        <v>803241.6295920402</v>
      </c>
      <c r="Q178" s="164">
        <v>0.71620837835751028</v>
      </c>
      <c r="R178" s="164">
        <v>961547.54112323991</v>
      </c>
      <c r="S178" s="164">
        <v>2829893.9593731943</v>
      </c>
      <c r="T178" s="164">
        <v>2792257.4777167747</v>
      </c>
      <c r="U178" s="164">
        <v>1497406.5345171117</v>
      </c>
      <c r="V178" s="164">
        <v>3407480.6107832235</v>
      </c>
      <c r="W178" s="164">
        <v>2032183.6266767401</v>
      </c>
      <c r="X178" s="164">
        <v>3535631.3363932832</v>
      </c>
      <c r="Y178" s="164">
        <v>3431803.6606296035</v>
      </c>
      <c r="Z178" s="164">
        <v>6089157.7325518243</v>
      </c>
      <c r="AA178" s="164">
        <v>4893033.4261190956</v>
      </c>
      <c r="AB178" s="164">
        <v>3802370.7271620841</v>
      </c>
      <c r="AC178" s="164">
        <v>7434281.1423611511</v>
      </c>
      <c r="AD178" s="164">
        <v>4791343.9276967989</v>
      </c>
      <c r="AE178" s="164">
        <v>95300.20733206172</v>
      </c>
      <c r="AF178" s="219"/>
      <c r="AG178" s="219"/>
      <c r="AH178" s="219"/>
      <c r="AI178" s="219"/>
    </row>
    <row r="179" spans="2:35" x14ac:dyDescent="0.2">
      <c r="B179" s="9">
        <v>4</v>
      </c>
      <c r="C179" s="152" t="str">
        <f>'I1 General Inputs'!$C$18</f>
        <v>Option 1D</v>
      </c>
      <c r="D179" s="72"/>
      <c r="E179" s="77" t="s">
        <v>35</v>
      </c>
      <c r="F179" s="164">
        <v>0</v>
      </c>
      <c r="G179" s="164">
        <v>234070.88196396604</v>
      </c>
      <c r="H179" s="164">
        <v>52667.228074984079</v>
      </c>
      <c r="I179" s="164">
        <v>887766.2345823358</v>
      </c>
      <c r="J179" s="164">
        <v>608059.61504512071</v>
      </c>
      <c r="K179" s="164">
        <v>900481.26199222251</v>
      </c>
      <c r="L179" s="164">
        <v>787238.95201237511</v>
      </c>
      <c r="M179" s="164">
        <v>647691.76796197274</v>
      </c>
      <c r="N179" s="164">
        <v>806920.87846335175</v>
      </c>
      <c r="O179" s="164">
        <v>2828052.5208183127</v>
      </c>
      <c r="P179" s="164">
        <v>767956.59821230324</v>
      </c>
      <c r="Q179" s="164">
        <v>0.42786944320966019</v>
      </c>
      <c r="R179" s="164">
        <v>943082.60326245835</v>
      </c>
      <c r="S179" s="164">
        <v>2768479.1418438237</v>
      </c>
      <c r="T179" s="164">
        <v>2753365.6350181578</v>
      </c>
      <c r="U179" s="164">
        <v>1446834.6156843668</v>
      </c>
      <c r="V179" s="164">
        <v>3560995.3372964901</v>
      </c>
      <c r="W179" s="164">
        <v>2214948.2517057592</v>
      </c>
      <c r="X179" s="164">
        <v>3591887.4573380756</v>
      </c>
      <c r="Y179" s="164">
        <v>3451947.2043644655</v>
      </c>
      <c r="Z179" s="164">
        <v>6463559.2856946373</v>
      </c>
      <c r="AA179" s="164">
        <v>4793482.3115386851</v>
      </c>
      <c r="AB179" s="164">
        <v>3873348.1930679516</v>
      </c>
      <c r="AC179" s="164">
        <v>7633757.1381478207</v>
      </c>
      <c r="AD179" s="164">
        <v>5137562.3452545386</v>
      </c>
      <c r="AE179" s="164">
        <v>113818.71057401497</v>
      </c>
      <c r="AF179" s="219"/>
      <c r="AG179" s="219"/>
      <c r="AH179" s="219"/>
      <c r="AI179" s="219"/>
    </row>
    <row r="180" spans="2:35" x14ac:dyDescent="0.2">
      <c r="B180" s="9">
        <v>5</v>
      </c>
      <c r="C180" s="152" t="str">
        <f>'I1 General Inputs'!$C$19</f>
        <v>Option 5A</v>
      </c>
      <c r="D180" s="72"/>
      <c r="E180" s="77" t="s">
        <v>35</v>
      </c>
      <c r="F180" s="164">
        <v>0</v>
      </c>
      <c r="G180" s="164">
        <f>G175-(G175-G181)*$L$15</f>
        <v>234075.33887934001</v>
      </c>
      <c r="H180" s="164">
        <f t="shared" ref="H180:AE180" si="375">H175-(H175-H181)*$L$15</f>
        <v>52671.916611987217</v>
      </c>
      <c r="I180" s="164">
        <f t="shared" si="375"/>
        <v>865072.90168052504</v>
      </c>
      <c r="J180" s="164">
        <f t="shared" si="375"/>
        <v>586519.70355492726</v>
      </c>
      <c r="K180" s="164">
        <f t="shared" si="375"/>
        <v>869715.16217215965</v>
      </c>
      <c r="L180" s="164">
        <f t="shared" si="375"/>
        <v>795082.74841237382</v>
      </c>
      <c r="M180" s="164">
        <f t="shared" si="375"/>
        <v>617262.01457525464</v>
      </c>
      <c r="N180" s="164">
        <f t="shared" si="375"/>
        <v>829767.0139598964</v>
      </c>
      <c r="O180" s="164">
        <f t="shared" si="375"/>
        <v>2701530.6140205739</v>
      </c>
      <c r="P180" s="164">
        <f t="shared" si="375"/>
        <v>762371.39542271418</v>
      </c>
      <c r="Q180" s="164">
        <f t="shared" si="375"/>
        <v>8.1262810715149261</v>
      </c>
      <c r="R180" s="164">
        <f t="shared" si="375"/>
        <v>906033.19964203401</v>
      </c>
      <c r="S180" s="164">
        <f t="shared" si="375"/>
        <v>2540335.9821502934</v>
      </c>
      <c r="T180" s="164">
        <f t="shared" si="375"/>
        <v>2743990.301407869</v>
      </c>
      <c r="U180" s="164">
        <f t="shared" si="375"/>
        <v>1447390.9777120468</v>
      </c>
      <c r="V180" s="164">
        <f t="shared" si="375"/>
        <v>3621766.4556461703</v>
      </c>
      <c r="W180" s="164">
        <f t="shared" si="375"/>
        <v>2271665.1902125208</v>
      </c>
      <c r="X180" s="164">
        <f t="shared" si="375"/>
        <v>3749689.5327089354</v>
      </c>
      <c r="Y180" s="164">
        <f t="shared" si="375"/>
        <v>3521761.2428226573</v>
      </c>
      <c r="Z180" s="164">
        <f t="shared" si="375"/>
        <v>6370296.6861336101</v>
      </c>
      <c r="AA180" s="164">
        <f t="shared" si="375"/>
        <v>4667717.663360754</v>
      </c>
      <c r="AB180" s="164">
        <f t="shared" si="375"/>
        <v>3845305.5214243727</v>
      </c>
      <c r="AC180" s="164">
        <f t="shared" si="375"/>
        <v>7711068.1870313575</v>
      </c>
      <c r="AD180" s="164">
        <f t="shared" si="375"/>
        <v>5148777.9953551954</v>
      </c>
      <c r="AE180" s="164">
        <f t="shared" si="375"/>
        <v>141877.42409337565</v>
      </c>
      <c r="AF180" s="219"/>
      <c r="AG180" s="219"/>
      <c r="AH180" s="219"/>
      <c r="AI180" s="219"/>
    </row>
    <row r="181" spans="2:35" x14ac:dyDescent="0.2">
      <c r="B181" s="9">
        <v>6</v>
      </c>
      <c r="C181" s="152" t="str">
        <f>'I1 General Inputs'!$C$20</f>
        <v>Option 5B</v>
      </c>
      <c r="D181" s="72"/>
      <c r="E181" s="77" t="s">
        <v>35</v>
      </c>
      <c r="F181" s="164">
        <v>0</v>
      </c>
      <c r="G181" s="164">
        <v>234072.34526389389</v>
      </c>
      <c r="H181" s="164">
        <v>52668.760753187569</v>
      </c>
      <c r="I181" s="164">
        <v>812287.72899501713</v>
      </c>
      <c r="J181" s="164">
        <v>474586.36541257659</v>
      </c>
      <c r="K181" s="164">
        <v>854742.44749739731</v>
      </c>
      <c r="L181" s="164">
        <v>769161.09848793864</v>
      </c>
      <c r="M181" s="164">
        <v>568508.37143053382</v>
      </c>
      <c r="N181" s="164">
        <v>830567.26547756791</v>
      </c>
      <c r="O181" s="164">
        <v>2687909.2844771044</v>
      </c>
      <c r="P181" s="164">
        <v>752998.93534439511</v>
      </c>
      <c r="Q181" s="164">
        <v>2.9402603549406385</v>
      </c>
      <c r="R181" s="164">
        <v>888788.8585991119</v>
      </c>
      <c r="S181" s="164">
        <v>2636959.1592587568</v>
      </c>
      <c r="T181" s="164">
        <v>2794513.4918641034</v>
      </c>
      <c r="U181" s="164">
        <v>1501212.6550865378</v>
      </c>
      <c r="V181" s="164">
        <v>3393340.7533930424</v>
      </c>
      <c r="W181" s="164">
        <v>2717360.0214762022</v>
      </c>
      <c r="X181" s="164">
        <v>3952777.2144940081</v>
      </c>
      <c r="Y181" s="164">
        <v>3435953.0423675026</v>
      </c>
      <c r="Z181" s="164">
        <v>6313198.8470860617</v>
      </c>
      <c r="AA181" s="164">
        <v>4985743.277973732</v>
      </c>
      <c r="AB181" s="164">
        <v>3705053.2195364642</v>
      </c>
      <c r="AC181" s="164">
        <v>7791824.5724986801</v>
      </c>
      <c r="AD181" s="164">
        <v>7603150.987554892</v>
      </c>
      <c r="AE181" s="164">
        <v>126736.82949568079</v>
      </c>
      <c r="AF181" s="219"/>
      <c r="AG181" s="219"/>
      <c r="AH181" s="219"/>
      <c r="AI181" s="219"/>
    </row>
    <row r="182" spans="2:35" x14ac:dyDescent="0.2">
      <c r="E182" s="75"/>
    </row>
    <row r="183" spans="2:35" ht="15.75" x14ac:dyDescent="0.25">
      <c r="B183" s="69" t="s">
        <v>14</v>
      </c>
      <c r="C183" s="69" t="s">
        <v>13</v>
      </c>
      <c r="D183" s="69" t="s">
        <v>100</v>
      </c>
      <c r="E183" s="73" t="s">
        <v>7</v>
      </c>
      <c r="F183" s="69">
        <f>FirstYear</f>
        <v>2020</v>
      </c>
      <c r="G183" s="69">
        <f>+F183+1</f>
        <v>2021</v>
      </c>
      <c r="H183" s="69">
        <f t="shared" ref="H183" si="376">+G183+1</f>
        <v>2022</v>
      </c>
      <c r="I183" s="69">
        <f t="shared" ref="I183" si="377">+H183+1</f>
        <v>2023</v>
      </c>
      <c r="J183" s="69">
        <f t="shared" ref="J183" si="378">+I183+1</f>
        <v>2024</v>
      </c>
      <c r="K183" s="69">
        <f t="shared" ref="K183" si="379">+J183+1</f>
        <v>2025</v>
      </c>
      <c r="L183" s="69">
        <f t="shared" ref="L183" si="380">+K183+1</f>
        <v>2026</v>
      </c>
      <c r="M183" s="69">
        <f t="shared" ref="M183" si="381">+L183+1</f>
        <v>2027</v>
      </c>
      <c r="N183" s="69">
        <f t="shared" ref="N183" si="382">+M183+1</f>
        <v>2028</v>
      </c>
      <c r="O183" s="69">
        <f t="shared" ref="O183" si="383">+N183+1</f>
        <v>2029</v>
      </c>
      <c r="P183" s="69">
        <f t="shared" ref="P183" si="384">+O183+1</f>
        <v>2030</v>
      </c>
      <c r="Q183" s="69">
        <f t="shared" ref="Q183" si="385">+P183+1</f>
        <v>2031</v>
      </c>
      <c r="R183" s="69">
        <f t="shared" ref="R183" si="386">+Q183+1</f>
        <v>2032</v>
      </c>
      <c r="S183" s="69">
        <f t="shared" ref="S183" si="387">+R183+1</f>
        <v>2033</v>
      </c>
      <c r="T183" s="69">
        <f t="shared" ref="T183" si="388">+S183+1</f>
        <v>2034</v>
      </c>
      <c r="U183" s="69">
        <f t="shared" ref="U183" si="389">+T183+1</f>
        <v>2035</v>
      </c>
      <c r="V183" s="69">
        <f t="shared" ref="V183" si="390">+U183+1</f>
        <v>2036</v>
      </c>
      <c r="W183" s="69">
        <f t="shared" ref="W183" si="391">+V183+1</f>
        <v>2037</v>
      </c>
      <c r="X183" s="69">
        <f t="shared" ref="X183" si="392">+W183+1</f>
        <v>2038</v>
      </c>
      <c r="Y183" s="69">
        <f t="shared" ref="Y183" si="393">+X183+1</f>
        <v>2039</v>
      </c>
      <c r="Z183" s="69">
        <f t="shared" ref="Z183" si="394">+Y183+1</f>
        <v>2040</v>
      </c>
      <c r="AA183" s="69">
        <f t="shared" ref="AA183" si="395">+Z183+1</f>
        <v>2041</v>
      </c>
      <c r="AB183" s="69">
        <f t="shared" ref="AB183" si="396">+AA183+1</f>
        <v>2042</v>
      </c>
      <c r="AC183" s="69">
        <f t="shared" ref="AC183" si="397">+AB183+1</f>
        <v>2043</v>
      </c>
      <c r="AD183" s="69">
        <f t="shared" ref="AD183" si="398">+AC183+1</f>
        <v>2044</v>
      </c>
      <c r="AE183" s="69">
        <f t="shared" ref="AE183" si="399">+AD183+1</f>
        <v>2045</v>
      </c>
      <c r="AF183" s="218"/>
      <c r="AG183" s="218"/>
      <c r="AH183" s="218"/>
      <c r="AI183" s="218"/>
    </row>
    <row r="184" spans="2:35" x14ac:dyDescent="0.2">
      <c r="B184" s="9">
        <v>0</v>
      </c>
      <c r="C184" s="153" t="str">
        <f>'I1 General Inputs'!$C$14</f>
        <v>Base case</v>
      </c>
      <c r="D184" s="72"/>
      <c r="E184" s="77" t="s">
        <v>35</v>
      </c>
      <c r="F184" s="164">
        <v>0</v>
      </c>
      <c r="G184" s="164">
        <v>283212.96316589281</v>
      </c>
      <c r="H184" s="164">
        <v>303469.90686460107</v>
      </c>
      <c r="I184" s="164">
        <v>1390426.9717730205</v>
      </c>
      <c r="J184" s="164">
        <v>901923.7963006458</v>
      </c>
      <c r="K184" s="164">
        <v>1167555.5764444058</v>
      </c>
      <c r="L184" s="164">
        <v>4.5020155603968446</v>
      </c>
      <c r="M184" s="164">
        <v>196956.58548657116</v>
      </c>
      <c r="N184" s="164">
        <v>1354388.6054216488</v>
      </c>
      <c r="O184" s="164">
        <v>1332349.1220627276</v>
      </c>
      <c r="P184" s="164">
        <v>217013.45162395138</v>
      </c>
      <c r="Q184" s="164">
        <v>1807378.1480630098</v>
      </c>
      <c r="R184" s="164">
        <v>4939991.0671344623</v>
      </c>
      <c r="S184" s="164">
        <v>3460270.1999101085</v>
      </c>
      <c r="T184" s="164">
        <v>2086095.9344233666</v>
      </c>
      <c r="U184" s="164">
        <v>3505009.9291826324</v>
      </c>
      <c r="V184" s="164">
        <v>4718849.3118637828</v>
      </c>
      <c r="W184" s="164">
        <v>178096.68113404201</v>
      </c>
      <c r="X184" s="164">
        <v>156773.8519768102</v>
      </c>
      <c r="Y184" s="164">
        <v>2738926.0277358787</v>
      </c>
      <c r="Z184" s="164">
        <v>10783758.582754297</v>
      </c>
      <c r="AA184" s="164">
        <v>9793543.9702723604</v>
      </c>
      <c r="AB184" s="164">
        <v>8688149.7025763318</v>
      </c>
      <c r="AC184" s="164">
        <v>5733016.2902139565</v>
      </c>
      <c r="AD184" s="164">
        <v>34026905.131088443</v>
      </c>
      <c r="AE184" s="164">
        <v>3277795.418470345</v>
      </c>
      <c r="AF184" s="219"/>
      <c r="AG184" s="219"/>
      <c r="AH184" s="219"/>
      <c r="AI184" s="219"/>
    </row>
    <row r="185" spans="2:35" x14ac:dyDescent="0.2">
      <c r="B185" s="9">
        <v>1</v>
      </c>
      <c r="C185" s="152" t="str">
        <f>'I1 General Inputs'!$C$15</f>
        <v>Option 1A</v>
      </c>
      <c r="D185" s="72"/>
      <c r="E185" s="77" t="s">
        <v>35</v>
      </c>
      <c r="F185" s="164">
        <v>0</v>
      </c>
      <c r="G185" s="164">
        <v>283210.76029568288</v>
      </c>
      <c r="H185" s="164">
        <v>303467.63679637655</v>
      </c>
      <c r="I185" s="164">
        <v>1387023.4524530815</v>
      </c>
      <c r="J185" s="164">
        <v>933325.6429728549</v>
      </c>
      <c r="K185" s="164">
        <v>1294001.4847327017</v>
      </c>
      <c r="L185" s="164">
        <v>1.5021081522033073</v>
      </c>
      <c r="M185" s="164">
        <v>343237.21957389597</v>
      </c>
      <c r="N185" s="164">
        <v>1358534.4580733299</v>
      </c>
      <c r="O185" s="164">
        <v>1327625.5860544646</v>
      </c>
      <c r="P185" s="164">
        <v>214200.58474086999</v>
      </c>
      <c r="Q185" s="164">
        <v>1345270.2312323051</v>
      </c>
      <c r="R185" s="164">
        <v>4170005.5086786048</v>
      </c>
      <c r="S185" s="164">
        <v>3213029.3888441012</v>
      </c>
      <c r="T185" s="164">
        <v>1722640.0697262571</v>
      </c>
      <c r="U185" s="164">
        <v>3293874.361054753</v>
      </c>
      <c r="V185" s="164">
        <v>4466259.624815125</v>
      </c>
      <c r="W185" s="164">
        <v>3.0244072955991705</v>
      </c>
      <c r="X185" s="164">
        <v>263939.22401944868</v>
      </c>
      <c r="Y185" s="164">
        <v>2664865.6751400419</v>
      </c>
      <c r="Z185" s="164">
        <v>12695866.322925018</v>
      </c>
      <c r="AA185" s="164">
        <v>10083476.471975528</v>
      </c>
      <c r="AB185" s="164">
        <v>9423559.8277055863</v>
      </c>
      <c r="AC185" s="164">
        <v>6548685.6032676594</v>
      </c>
      <c r="AD185" s="164">
        <v>36843574.003514744</v>
      </c>
      <c r="AE185" s="164">
        <v>3692259.3336988757</v>
      </c>
      <c r="AF185" s="219"/>
      <c r="AG185" s="219"/>
      <c r="AH185" s="219"/>
      <c r="AI185" s="219"/>
    </row>
    <row r="186" spans="2:35" x14ac:dyDescent="0.2">
      <c r="B186" s="9">
        <v>2</v>
      </c>
      <c r="C186" s="152" t="str">
        <f>'I1 General Inputs'!$C$16</f>
        <v>Option 1B</v>
      </c>
      <c r="D186" s="72"/>
      <c r="E186" s="77" t="s">
        <v>35</v>
      </c>
      <c r="F186" s="164">
        <v>0</v>
      </c>
      <c r="G186" s="164">
        <v>283214.00750855997</v>
      </c>
      <c r="H186" s="164">
        <v>303470.98049826012</v>
      </c>
      <c r="I186" s="164">
        <v>1339455.4830405654</v>
      </c>
      <c r="J186" s="164">
        <v>943777.5095870588</v>
      </c>
      <c r="K186" s="164">
        <v>1172775.3296921861</v>
      </c>
      <c r="L186" s="164">
        <v>5.9165953295092235</v>
      </c>
      <c r="M186" s="164">
        <v>221165.93708892562</v>
      </c>
      <c r="N186" s="164">
        <v>1346736.763413586</v>
      </c>
      <c r="O186" s="164">
        <v>1317014.888681584</v>
      </c>
      <c r="P186" s="164">
        <v>226426.80672625042</v>
      </c>
      <c r="Q186" s="164">
        <v>1350045.4166680044</v>
      </c>
      <c r="R186" s="164">
        <v>5217663.4642073764</v>
      </c>
      <c r="S186" s="164">
        <v>3668602.3467602986</v>
      </c>
      <c r="T186" s="164">
        <v>2209841.2887487798</v>
      </c>
      <c r="U186" s="164">
        <v>3765039.3028884702</v>
      </c>
      <c r="V186" s="164">
        <v>4871432.3367889905</v>
      </c>
      <c r="W186" s="164">
        <v>194142.12780123291</v>
      </c>
      <c r="X186" s="164">
        <v>260188.6677150561</v>
      </c>
      <c r="Y186" s="164">
        <v>2943869.5517351707</v>
      </c>
      <c r="Z186" s="164">
        <v>10671955.844771061</v>
      </c>
      <c r="AA186" s="164">
        <v>9717921.534592228</v>
      </c>
      <c r="AB186" s="164">
        <v>6328443.5652191909</v>
      </c>
      <c r="AC186" s="164">
        <v>6031061.71472866</v>
      </c>
      <c r="AD186" s="164">
        <v>29894083.250866842</v>
      </c>
      <c r="AE186" s="164">
        <v>3346361.5751151531</v>
      </c>
      <c r="AF186" s="219"/>
      <c r="AG186" s="219"/>
      <c r="AH186" s="219"/>
      <c r="AI186" s="219"/>
    </row>
    <row r="187" spans="2:35" x14ac:dyDescent="0.2">
      <c r="B187" s="9">
        <v>3</v>
      </c>
      <c r="C187" s="152" t="str">
        <f>'I1 General Inputs'!$C$17</f>
        <v>Option 1C</v>
      </c>
      <c r="D187" s="72"/>
      <c r="E187" s="77" t="s">
        <v>35</v>
      </c>
      <c r="F187" s="164">
        <v>0</v>
      </c>
      <c r="G187" s="164">
        <v>283210.59488410404</v>
      </c>
      <c r="H187" s="164">
        <v>303467.4659509164</v>
      </c>
      <c r="I187" s="164">
        <v>1428252.6677897605</v>
      </c>
      <c r="J187" s="164">
        <v>901920.91128806898</v>
      </c>
      <c r="K187" s="164">
        <v>1276504.735190464</v>
      </c>
      <c r="L187" s="164">
        <v>1.2652425443799904</v>
      </c>
      <c r="M187" s="164">
        <v>229556.77898081622</v>
      </c>
      <c r="N187" s="164">
        <v>1477211.9037736242</v>
      </c>
      <c r="O187" s="164">
        <v>1374649.9906013196</v>
      </c>
      <c r="P187" s="164">
        <v>214440.14697714307</v>
      </c>
      <c r="Q187" s="164">
        <v>1724187.9443126442</v>
      </c>
      <c r="R187" s="164">
        <v>4150999.6893588561</v>
      </c>
      <c r="S187" s="164">
        <v>2994451.8639992694</v>
      </c>
      <c r="T187" s="164">
        <v>1670755.8031612714</v>
      </c>
      <c r="U187" s="164">
        <v>3089867.6952986605</v>
      </c>
      <c r="V187" s="164">
        <v>4440300.8310053675</v>
      </c>
      <c r="W187" s="164">
        <v>25064.715496210072</v>
      </c>
      <c r="X187" s="164">
        <v>167955.52861933981</v>
      </c>
      <c r="Y187" s="164">
        <v>2589356.7818488027</v>
      </c>
      <c r="Z187" s="164">
        <v>12426106.679611987</v>
      </c>
      <c r="AA187" s="164">
        <v>10694998.400867302</v>
      </c>
      <c r="AB187" s="164">
        <v>11546036.728519758</v>
      </c>
      <c r="AC187" s="164">
        <v>6176393.4793616375</v>
      </c>
      <c r="AD187" s="164">
        <v>38050818.424691074</v>
      </c>
      <c r="AE187" s="164">
        <v>3885013.0254231594</v>
      </c>
      <c r="AF187" s="219"/>
      <c r="AG187" s="219"/>
      <c r="AH187" s="219"/>
      <c r="AI187" s="219"/>
    </row>
    <row r="188" spans="2:35" x14ac:dyDescent="0.2">
      <c r="B188" s="9">
        <v>4</v>
      </c>
      <c r="C188" s="152" t="str">
        <f>'I1 General Inputs'!$C$18</f>
        <v>Option 1D</v>
      </c>
      <c r="D188" s="72"/>
      <c r="E188" s="77" t="s">
        <v>35</v>
      </c>
      <c r="F188" s="164">
        <v>0</v>
      </c>
      <c r="G188" s="164">
        <v>283212.6909605019</v>
      </c>
      <c r="H188" s="164">
        <v>303469.62232523219</v>
      </c>
      <c r="I188" s="164">
        <v>1398445.0193528829</v>
      </c>
      <c r="J188" s="164">
        <v>901923.45072158286</v>
      </c>
      <c r="K188" s="164">
        <v>1245473.6543936648</v>
      </c>
      <c r="L188" s="164">
        <v>4.1131482370017114</v>
      </c>
      <c r="M188" s="164">
        <v>293135.77277581533</v>
      </c>
      <c r="N188" s="164">
        <v>1443117.9700237277</v>
      </c>
      <c r="O188" s="164">
        <v>1347034.9771545299</v>
      </c>
      <c r="P188" s="164">
        <v>216071.26008549027</v>
      </c>
      <c r="Q188" s="164">
        <v>1742365.172532717</v>
      </c>
      <c r="R188" s="164">
        <v>4867811.6121349707</v>
      </c>
      <c r="S188" s="164">
        <v>3397110.8504427187</v>
      </c>
      <c r="T188" s="164">
        <v>2028929.6737329005</v>
      </c>
      <c r="U188" s="164">
        <v>3381060.4042735868</v>
      </c>
      <c r="V188" s="164">
        <v>4672546.6102192318</v>
      </c>
      <c r="W188" s="164">
        <v>160267.87337450971</v>
      </c>
      <c r="X188" s="164">
        <v>161856.47694444389</v>
      </c>
      <c r="Y188" s="164">
        <v>2743520.2485935939</v>
      </c>
      <c r="Z188" s="164">
        <v>10747889.098719519</v>
      </c>
      <c r="AA188" s="164">
        <v>9769099.1806984935</v>
      </c>
      <c r="AB188" s="164">
        <v>8451009.4805867486</v>
      </c>
      <c r="AC188" s="164">
        <v>5746619.167875004</v>
      </c>
      <c r="AD188" s="164">
        <v>32993886.541689128</v>
      </c>
      <c r="AE188" s="164">
        <v>3317151.8326994977</v>
      </c>
      <c r="AF188" s="219"/>
      <c r="AG188" s="219"/>
      <c r="AH188" s="219"/>
      <c r="AI188" s="219"/>
    </row>
    <row r="189" spans="2:35" x14ac:dyDescent="0.2">
      <c r="B189" s="9">
        <v>5</v>
      </c>
      <c r="C189" s="152" t="str">
        <f>'I1 General Inputs'!$C$19</f>
        <v>Option 5A</v>
      </c>
      <c r="D189" s="72"/>
      <c r="E189" s="77" t="s">
        <v>35</v>
      </c>
      <c r="F189" s="164">
        <v>0</v>
      </c>
      <c r="G189" s="164">
        <f>G184-(G184-G190)*$L$15</f>
        <v>283212.96316589281</v>
      </c>
      <c r="H189" s="164">
        <f t="shared" ref="H189:AE189" si="400">H184-(H184-H190)*$L$15</f>
        <v>303469.90686460107</v>
      </c>
      <c r="I189" s="164">
        <f t="shared" si="400"/>
        <v>1390426.9717730205</v>
      </c>
      <c r="J189" s="164">
        <f t="shared" si="400"/>
        <v>901923.7963006458</v>
      </c>
      <c r="K189" s="164">
        <f t="shared" si="400"/>
        <v>1167555.5764444058</v>
      </c>
      <c r="L189" s="164">
        <f t="shared" si="400"/>
        <v>4.5020155603968446</v>
      </c>
      <c r="M189" s="164">
        <f t="shared" si="400"/>
        <v>196956.58548657116</v>
      </c>
      <c r="N189" s="164">
        <f t="shared" si="400"/>
        <v>1354388.6054216488</v>
      </c>
      <c r="O189" s="164">
        <f t="shared" si="400"/>
        <v>1332349.1220627276</v>
      </c>
      <c r="P189" s="164">
        <f t="shared" si="400"/>
        <v>217013.45162395138</v>
      </c>
      <c r="Q189" s="164">
        <f t="shared" si="400"/>
        <v>1807378.1480630098</v>
      </c>
      <c r="R189" s="164">
        <f t="shared" si="400"/>
        <v>4939991.0671344623</v>
      </c>
      <c r="S189" s="164">
        <f t="shared" si="400"/>
        <v>3460270.1999101085</v>
      </c>
      <c r="T189" s="164">
        <f t="shared" si="400"/>
        <v>2086095.9344233666</v>
      </c>
      <c r="U189" s="164">
        <f t="shared" si="400"/>
        <v>3505009.9291826324</v>
      </c>
      <c r="V189" s="164">
        <f t="shared" si="400"/>
        <v>4718849.3118637828</v>
      </c>
      <c r="W189" s="164">
        <f t="shared" si="400"/>
        <v>178096.68113404201</v>
      </c>
      <c r="X189" s="164">
        <f t="shared" si="400"/>
        <v>156773.8519768102</v>
      </c>
      <c r="Y189" s="164">
        <f t="shared" si="400"/>
        <v>2738926.0277358787</v>
      </c>
      <c r="Z189" s="164">
        <f t="shared" si="400"/>
        <v>10783758.582754297</v>
      </c>
      <c r="AA189" s="164">
        <f t="shared" si="400"/>
        <v>9793543.9702723604</v>
      </c>
      <c r="AB189" s="164">
        <f t="shared" si="400"/>
        <v>8688149.7025763318</v>
      </c>
      <c r="AC189" s="164">
        <f t="shared" si="400"/>
        <v>5733016.2902139565</v>
      </c>
      <c r="AD189" s="164">
        <f t="shared" si="400"/>
        <v>34026905.131088443</v>
      </c>
      <c r="AE189" s="164">
        <f t="shared" si="400"/>
        <v>3277795.418470345</v>
      </c>
      <c r="AF189" s="219"/>
      <c r="AG189" s="219"/>
      <c r="AH189" s="219"/>
      <c r="AI189" s="219"/>
    </row>
    <row r="190" spans="2:35" x14ac:dyDescent="0.2">
      <c r="B190" s="9">
        <v>6</v>
      </c>
      <c r="C190" s="152" t="str">
        <f>'I1 General Inputs'!$C$20</f>
        <v>Option 5B</v>
      </c>
      <c r="D190" s="72"/>
      <c r="E190" s="77" t="s">
        <v>35</v>
      </c>
      <c r="F190" s="164">
        <v>0</v>
      </c>
      <c r="G190" s="164">
        <v>283211.20277784998</v>
      </c>
      <c r="H190" s="164">
        <v>303468.08522848645</v>
      </c>
      <c r="I190" s="164">
        <v>1366277.9771382739</v>
      </c>
      <c r="J190" s="164">
        <v>927990.81598223338</v>
      </c>
      <c r="K190" s="164">
        <v>1303455.4711258446</v>
      </c>
      <c r="L190" s="164">
        <v>2.0850880621014665</v>
      </c>
      <c r="M190" s="164">
        <v>363451.41666448169</v>
      </c>
      <c r="N190" s="164">
        <v>1343143.1204653571</v>
      </c>
      <c r="O190" s="164">
        <v>1338130.5918217052</v>
      </c>
      <c r="P190" s="164">
        <v>231020.62205910834</v>
      </c>
      <c r="Q190" s="164">
        <v>1179748.9491159122</v>
      </c>
      <c r="R190" s="164">
        <v>4711547.6935794661</v>
      </c>
      <c r="S190" s="164">
        <v>3670661.9245688138</v>
      </c>
      <c r="T190" s="164">
        <v>1846572.8131788159</v>
      </c>
      <c r="U190" s="164">
        <v>3481395.8167684474</v>
      </c>
      <c r="V190" s="164">
        <v>4625988.1358146751</v>
      </c>
      <c r="W190" s="164">
        <v>51917.400154330287</v>
      </c>
      <c r="X190" s="164">
        <v>254622.792657249</v>
      </c>
      <c r="Y190" s="164">
        <v>2650576.5352302506</v>
      </c>
      <c r="Z190" s="164">
        <v>12495540.424330277</v>
      </c>
      <c r="AA190" s="164">
        <v>10019625.72601589</v>
      </c>
      <c r="AB190" s="164">
        <v>8981861.5782929305</v>
      </c>
      <c r="AC190" s="164">
        <v>6651603.8802786395</v>
      </c>
      <c r="AD190" s="164">
        <v>35146958.452492088</v>
      </c>
      <c r="AE190" s="164">
        <v>3533649.3268300202</v>
      </c>
      <c r="AF190" s="219"/>
      <c r="AG190" s="219"/>
      <c r="AH190" s="219"/>
      <c r="AI190" s="219"/>
    </row>
    <row r="191" spans="2:35" x14ac:dyDescent="0.2">
      <c r="E191" s="75"/>
    </row>
    <row r="192" spans="2:35" ht="15.75" x14ac:dyDescent="0.25">
      <c r="B192" s="68" t="s">
        <v>92</v>
      </c>
      <c r="C192" s="68"/>
      <c r="D192" s="68"/>
      <c r="E192" s="142" t="s">
        <v>32</v>
      </c>
      <c r="F192" s="68" t="s">
        <v>102</v>
      </c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145"/>
      <c r="AG192" s="145"/>
      <c r="AH192" s="145"/>
      <c r="AI192" s="145"/>
    </row>
    <row r="193" spans="1:35" s="56" customFormat="1" ht="15.75" x14ac:dyDescent="0.25">
      <c r="A193" s="110"/>
      <c r="B193" s="145"/>
      <c r="C193" s="145"/>
      <c r="D193" s="145"/>
      <c r="E193" s="146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</row>
    <row r="194" spans="1:35" ht="15.75" x14ac:dyDescent="0.25">
      <c r="B194" s="69" t="s">
        <v>14</v>
      </c>
      <c r="C194" s="69" t="s">
        <v>13</v>
      </c>
      <c r="D194" s="94" t="s">
        <v>115</v>
      </c>
      <c r="E194" s="73" t="s">
        <v>7</v>
      </c>
      <c r="F194" s="69">
        <f>FirstYear</f>
        <v>2020</v>
      </c>
      <c r="G194" s="69">
        <f>+F194+1</f>
        <v>2021</v>
      </c>
      <c r="H194" s="69">
        <f t="shared" ref="H194" si="401">+G194+1</f>
        <v>2022</v>
      </c>
      <c r="I194" s="69">
        <f t="shared" ref="I194" si="402">+H194+1</f>
        <v>2023</v>
      </c>
      <c r="J194" s="69">
        <f t="shared" ref="J194" si="403">+I194+1</f>
        <v>2024</v>
      </c>
      <c r="K194" s="69">
        <f t="shared" ref="K194" si="404">+J194+1</f>
        <v>2025</v>
      </c>
      <c r="L194" s="69">
        <f t="shared" ref="L194" si="405">+K194+1</f>
        <v>2026</v>
      </c>
      <c r="M194" s="69">
        <f t="shared" ref="M194" si="406">+L194+1</f>
        <v>2027</v>
      </c>
      <c r="N194" s="69">
        <f t="shared" ref="N194" si="407">+M194+1</f>
        <v>2028</v>
      </c>
      <c r="O194" s="69">
        <f t="shared" ref="O194" si="408">+N194+1</f>
        <v>2029</v>
      </c>
      <c r="P194" s="69">
        <f t="shared" ref="P194" si="409">+O194+1</f>
        <v>2030</v>
      </c>
      <c r="Q194" s="69">
        <f t="shared" ref="Q194" si="410">+P194+1</f>
        <v>2031</v>
      </c>
      <c r="R194" s="69">
        <f t="shared" ref="R194" si="411">+Q194+1</f>
        <v>2032</v>
      </c>
      <c r="S194" s="69">
        <f t="shared" ref="S194" si="412">+R194+1</f>
        <v>2033</v>
      </c>
      <c r="T194" s="69">
        <f t="shared" ref="T194" si="413">+S194+1</f>
        <v>2034</v>
      </c>
      <c r="U194" s="69">
        <f t="shared" ref="U194" si="414">+T194+1</f>
        <v>2035</v>
      </c>
      <c r="V194" s="69">
        <f t="shared" ref="V194" si="415">+U194+1</f>
        <v>2036</v>
      </c>
      <c r="W194" s="69">
        <f t="shared" ref="W194" si="416">+V194+1</f>
        <v>2037</v>
      </c>
      <c r="X194" s="69">
        <f t="shared" ref="X194" si="417">+W194+1</f>
        <v>2038</v>
      </c>
      <c r="Y194" s="69">
        <f t="shared" ref="Y194" si="418">+X194+1</f>
        <v>2039</v>
      </c>
      <c r="Z194" s="69">
        <f t="shared" ref="Z194" si="419">+Y194+1</f>
        <v>2040</v>
      </c>
      <c r="AA194" s="69">
        <f t="shared" ref="AA194" si="420">+Z194+1</f>
        <v>2041</v>
      </c>
      <c r="AB194" s="69">
        <f t="shared" ref="AB194" si="421">+AA194+1</f>
        <v>2042</v>
      </c>
      <c r="AC194" s="69">
        <f t="shared" ref="AC194" si="422">+AB194+1</f>
        <v>2043</v>
      </c>
      <c r="AD194" s="69">
        <f t="shared" ref="AD194" si="423">+AC194+1</f>
        <v>2044</v>
      </c>
      <c r="AE194" s="69">
        <f t="shared" ref="AE194" si="424">+AD194+1</f>
        <v>2045</v>
      </c>
      <c r="AF194" s="218"/>
      <c r="AG194" s="218"/>
      <c r="AH194" s="218"/>
      <c r="AI194" s="218"/>
    </row>
    <row r="195" spans="1:35" x14ac:dyDescent="0.2">
      <c r="B195" s="9">
        <v>0</v>
      </c>
      <c r="C195" s="153" t="str">
        <f>'I1 General Inputs'!$C$14</f>
        <v>Base case</v>
      </c>
      <c r="D195" s="72"/>
      <c r="E195" s="77" t="s">
        <v>35</v>
      </c>
      <c r="F195" s="164">
        <v>0</v>
      </c>
      <c r="G195" s="164">
        <v>760582991.56894851</v>
      </c>
      <c r="H195" s="164">
        <v>748602189.88106298</v>
      </c>
      <c r="I195" s="164">
        <v>1248514801.4917688</v>
      </c>
      <c r="J195" s="164">
        <v>949536335.24504745</v>
      </c>
      <c r="K195" s="164">
        <v>766088379.37428486</v>
      </c>
      <c r="L195" s="164">
        <v>840575829.44443631</v>
      </c>
      <c r="M195" s="164">
        <v>836510147.7478987</v>
      </c>
      <c r="N195" s="164">
        <v>3235788037.6886778</v>
      </c>
      <c r="O195" s="164">
        <v>6078433215.2004471</v>
      </c>
      <c r="P195" s="164">
        <v>3728494688.0023909</v>
      </c>
      <c r="Q195" s="164">
        <v>813392499.92174554</v>
      </c>
      <c r="R195" s="164">
        <v>10632614064.318827</v>
      </c>
      <c r="S195" s="164">
        <v>5599192582.4063873</v>
      </c>
      <c r="T195" s="164">
        <v>2319179138.7844291</v>
      </c>
      <c r="U195" s="164">
        <v>1253502942.7303081</v>
      </c>
      <c r="V195" s="164">
        <v>15167704322.125559</v>
      </c>
      <c r="W195" s="164">
        <v>3224862708.3935504</v>
      </c>
      <c r="X195" s="164">
        <v>879716288.96368277</v>
      </c>
      <c r="Y195" s="164">
        <v>1352312258.7098646</v>
      </c>
      <c r="Z195" s="164">
        <v>3628739581.3412108</v>
      </c>
      <c r="AA195" s="164">
        <v>1295772979.3831112</v>
      </c>
      <c r="AB195" s="164">
        <v>978672509.88014591</v>
      </c>
      <c r="AC195" s="164">
        <v>952343057.2891748</v>
      </c>
      <c r="AD195" s="164">
        <v>3096674059.0498343</v>
      </c>
      <c r="AE195" s="164">
        <v>1043491050.9073725</v>
      </c>
      <c r="AF195" s="219"/>
      <c r="AG195" s="219"/>
      <c r="AH195" s="219"/>
      <c r="AI195" s="219"/>
    </row>
    <row r="196" spans="1:35" x14ac:dyDescent="0.2">
      <c r="B196" s="9">
        <v>1</v>
      </c>
      <c r="C196" s="152" t="str">
        <f>'I1 General Inputs'!$C$15</f>
        <v>Option 1A</v>
      </c>
      <c r="D196" s="72"/>
      <c r="E196" s="77" t="s">
        <v>35</v>
      </c>
      <c r="F196" s="164">
        <v>0</v>
      </c>
      <c r="G196" s="164">
        <v>760582699.26775122</v>
      </c>
      <c r="H196" s="164">
        <v>748593161.04897225</v>
      </c>
      <c r="I196" s="164">
        <v>1079131012.459625</v>
      </c>
      <c r="J196" s="164">
        <v>967635078.64691818</v>
      </c>
      <c r="K196" s="164">
        <v>766473797.10957718</v>
      </c>
      <c r="L196" s="164">
        <v>838805480.2060411</v>
      </c>
      <c r="M196" s="164">
        <v>831891194.04028678</v>
      </c>
      <c r="N196" s="164">
        <v>3230778656.5173974</v>
      </c>
      <c r="O196" s="164">
        <v>5858200294.4924946</v>
      </c>
      <c r="P196" s="164">
        <v>3661115308.9353447</v>
      </c>
      <c r="Q196" s="164">
        <v>814160659.25839043</v>
      </c>
      <c r="R196" s="164">
        <v>10576888325.506775</v>
      </c>
      <c r="S196" s="164">
        <v>5846378911.2279854</v>
      </c>
      <c r="T196" s="164">
        <v>2193293642.9034905</v>
      </c>
      <c r="U196" s="164">
        <v>1051687151.2662978</v>
      </c>
      <c r="V196" s="164">
        <v>15107481715.666981</v>
      </c>
      <c r="W196" s="164">
        <v>3528845626.0345001</v>
      </c>
      <c r="X196" s="164">
        <v>889675104.58001339</v>
      </c>
      <c r="Y196" s="164">
        <v>1356324249.4871097</v>
      </c>
      <c r="Z196" s="164">
        <v>3525858053.4406462</v>
      </c>
      <c r="AA196" s="164">
        <v>1377421227.2828259</v>
      </c>
      <c r="AB196" s="164">
        <v>908769076.16404307</v>
      </c>
      <c r="AC196" s="164">
        <v>928059761.15662134</v>
      </c>
      <c r="AD196" s="164">
        <v>3141226720.1590748</v>
      </c>
      <c r="AE196" s="164">
        <v>1038978576.3436387</v>
      </c>
      <c r="AF196" s="219"/>
      <c r="AG196" s="219"/>
      <c r="AH196" s="219"/>
      <c r="AI196" s="219"/>
    </row>
    <row r="197" spans="1:35" x14ac:dyDescent="0.2">
      <c r="B197" s="9">
        <v>2</v>
      </c>
      <c r="C197" s="152" t="str">
        <f>'I1 General Inputs'!$C$16</f>
        <v>Option 1B</v>
      </c>
      <c r="D197" s="72"/>
      <c r="E197" s="77" t="s">
        <v>35</v>
      </c>
      <c r="F197" s="164">
        <v>0</v>
      </c>
      <c r="G197" s="164">
        <v>760583485.90962219</v>
      </c>
      <c r="H197" s="164">
        <v>748593185.16690326</v>
      </c>
      <c r="I197" s="164">
        <v>1248158244.4869335</v>
      </c>
      <c r="J197" s="164">
        <v>961243396.68125904</v>
      </c>
      <c r="K197" s="164">
        <v>765732165.0512687</v>
      </c>
      <c r="L197" s="164">
        <v>838484153.99996912</v>
      </c>
      <c r="M197" s="164">
        <v>832396791.90686154</v>
      </c>
      <c r="N197" s="164">
        <v>3232430051.4371991</v>
      </c>
      <c r="O197" s="164">
        <v>5938558296.5130472</v>
      </c>
      <c r="P197" s="164">
        <v>3724274346.8097486</v>
      </c>
      <c r="Q197" s="164">
        <v>812667983.84454191</v>
      </c>
      <c r="R197" s="164">
        <v>10670984544.862623</v>
      </c>
      <c r="S197" s="164">
        <v>5825872799.107358</v>
      </c>
      <c r="T197" s="164">
        <v>2107461407.2092597</v>
      </c>
      <c r="U197" s="164">
        <v>1246662525.5229998</v>
      </c>
      <c r="V197" s="164">
        <v>15005049883.724789</v>
      </c>
      <c r="W197" s="164">
        <v>3332440054.921309</v>
      </c>
      <c r="X197" s="164">
        <v>897923256.0654037</v>
      </c>
      <c r="Y197" s="164">
        <v>1340589490.5375829</v>
      </c>
      <c r="Z197" s="164">
        <v>3643165355.023344</v>
      </c>
      <c r="AA197" s="164">
        <v>1266533311.5834124</v>
      </c>
      <c r="AB197" s="164">
        <v>961343239.96265697</v>
      </c>
      <c r="AC197" s="164">
        <v>950962813.49625599</v>
      </c>
      <c r="AD197" s="164">
        <v>3154919467.6830425</v>
      </c>
      <c r="AE197" s="164">
        <v>1040453593.224429</v>
      </c>
      <c r="AF197" s="219"/>
      <c r="AG197" s="219"/>
      <c r="AH197" s="219"/>
      <c r="AI197" s="219"/>
    </row>
    <row r="198" spans="1:35" x14ac:dyDescent="0.2">
      <c r="B198" s="9">
        <v>3</v>
      </c>
      <c r="C198" s="152" t="str">
        <f>'I1 General Inputs'!$C$17</f>
        <v>Option 1C</v>
      </c>
      <c r="D198" s="72"/>
      <c r="E198" s="77" t="s">
        <v>35</v>
      </c>
      <c r="F198" s="164">
        <v>0</v>
      </c>
      <c r="G198" s="164">
        <v>760582736.86066151</v>
      </c>
      <c r="H198" s="164">
        <v>748597968.98593915</v>
      </c>
      <c r="I198" s="164">
        <v>1173582871.3666523</v>
      </c>
      <c r="J198" s="164">
        <v>916610550.83699751</v>
      </c>
      <c r="K198" s="164">
        <v>766608087.79810786</v>
      </c>
      <c r="L198" s="164">
        <v>840341775.21208847</v>
      </c>
      <c r="M198" s="164">
        <v>835178490.96047437</v>
      </c>
      <c r="N198" s="164">
        <v>3234241821.9634056</v>
      </c>
      <c r="O198" s="164">
        <v>6002077463.0598707</v>
      </c>
      <c r="P198" s="164">
        <v>3776284328.9237928</v>
      </c>
      <c r="Q198" s="164">
        <v>813590478.55035102</v>
      </c>
      <c r="R198" s="164">
        <v>10486334641.776251</v>
      </c>
      <c r="S198" s="164">
        <v>5649039440.9823656</v>
      </c>
      <c r="T198" s="164">
        <v>2376058733.2470384</v>
      </c>
      <c r="U198" s="164">
        <v>1054083643.9494581</v>
      </c>
      <c r="V198" s="164">
        <v>15221896904.868841</v>
      </c>
      <c r="W198" s="164">
        <v>3422277731.7859883</v>
      </c>
      <c r="X198" s="164">
        <v>894523190.25977385</v>
      </c>
      <c r="Y198" s="164">
        <v>1357288859.2101209</v>
      </c>
      <c r="Z198" s="164">
        <v>3452938093.9582744</v>
      </c>
      <c r="AA198" s="164">
        <v>1408676776.5984282</v>
      </c>
      <c r="AB198" s="164">
        <v>954728234.9992795</v>
      </c>
      <c r="AC198" s="164">
        <v>940265777.70550048</v>
      </c>
      <c r="AD198" s="164">
        <v>3104696566.8773293</v>
      </c>
      <c r="AE198" s="164">
        <v>1045396754.0192896</v>
      </c>
      <c r="AF198" s="219"/>
      <c r="AG198" s="219"/>
      <c r="AH198" s="219"/>
      <c r="AI198" s="219"/>
    </row>
    <row r="199" spans="1:35" x14ac:dyDescent="0.2">
      <c r="B199" s="9">
        <v>4</v>
      </c>
      <c r="C199" s="152" t="str">
        <f>'I1 General Inputs'!$C$18</f>
        <v>Option 1D</v>
      </c>
      <c r="D199" s="72"/>
      <c r="E199" s="77" t="s">
        <v>35</v>
      </c>
      <c r="F199" s="164">
        <v>0</v>
      </c>
      <c r="G199" s="164">
        <v>760582689.47318006</v>
      </c>
      <c r="H199" s="164">
        <v>748598375.43791592</v>
      </c>
      <c r="I199" s="164">
        <v>1177657089.6189938</v>
      </c>
      <c r="J199" s="164">
        <v>912612259.56357479</v>
      </c>
      <c r="K199" s="164">
        <v>766567901.73001778</v>
      </c>
      <c r="L199" s="164">
        <v>840569792.18235302</v>
      </c>
      <c r="M199" s="164">
        <v>835989941.736709</v>
      </c>
      <c r="N199" s="164">
        <v>3237693236.5869474</v>
      </c>
      <c r="O199" s="164">
        <v>6021605868.7677393</v>
      </c>
      <c r="P199" s="164">
        <v>3802383960.7437358</v>
      </c>
      <c r="Q199" s="164">
        <v>812988958.55046844</v>
      </c>
      <c r="R199" s="164">
        <v>10541635713.010071</v>
      </c>
      <c r="S199" s="164">
        <v>5613504108.4141893</v>
      </c>
      <c r="T199" s="164">
        <v>2334482096.5167866</v>
      </c>
      <c r="U199" s="164">
        <v>1241466995.3512561</v>
      </c>
      <c r="V199" s="164">
        <v>15131208884.0884</v>
      </c>
      <c r="W199" s="164">
        <v>3342012996.9518547</v>
      </c>
      <c r="X199" s="164">
        <v>883002594.95422387</v>
      </c>
      <c r="Y199" s="164">
        <v>1355996756.3344567</v>
      </c>
      <c r="Z199" s="164">
        <v>3574500220.6336584</v>
      </c>
      <c r="AA199" s="164">
        <v>1345372544.6320882</v>
      </c>
      <c r="AB199" s="164">
        <v>973037726.34942305</v>
      </c>
      <c r="AC199" s="164">
        <v>954748351.72166336</v>
      </c>
      <c r="AD199" s="164">
        <v>3090950962.748827</v>
      </c>
      <c r="AE199" s="164">
        <v>1046679807.098402</v>
      </c>
      <c r="AF199" s="219"/>
      <c r="AG199" s="219"/>
      <c r="AH199" s="219"/>
      <c r="AI199" s="219"/>
    </row>
    <row r="200" spans="1:35" x14ac:dyDescent="0.2">
      <c r="B200" s="9">
        <v>5</v>
      </c>
      <c r="C200" s="152" t="str">
        <f>'I1 General Inputs'!$C$19</f>
        <v>Option 5A</v>
      </c>
      <c r="D200" s="72"/>
      <c r="E200" s="77" t="s">
        <v>35</v>
      </c>
      <c r="F200" s="164">
        <v>0</v>
      </c>
      <c r="G200" s="164">
        <f>G195-(G195-G201)*$L$15</f>
        <v>760582991.56894851</v>
      </c>
      <c r="H200" s="164">
        <f t="shared" ref="H200:AE200" si="425">H195-(H195-H201)*$L$15</f>
        <v>748602189.88106298</v>
      </c>
      <c r="I200" s="164">
        <f t="shared" si="425"/>
        <v>1248514801.4917688</v>
      </c>
      <c r="J200" s="164">
        <f t="shared" si="425"/>
        <v>949536335.24504745</v>
      </c>
      <c r="K200" s="164">
        <f t="shared" si="425"/>
        <v>766088379.37428486</v>
      </c>
      <c r="L200" s="164">
        <f t="shared" si="425"/>
        <v>840575829.44443631</v>
      </c>
      <c r="M200" s="164">
        <f t="shared" si="425"/>
        <v>836510147.7478987</v>
      </c>
      <c r="N200" s="164">
        <f t="shared" si="425"/>
        <v>3235788037.6886778</v>
      </c>
      <c r="O200" s="164">
        <f t="shared" si="425"/>
        <v>6078433215.2004471</v>
      </c>
      <c r="P200" s="164">
        <f t="shared" si="425"/>
        <v>3728494688.0023909</v>
      </c>
      <c r="Q200" s="164">
        <f t="shared" si="425"/>
        <v>813392499.92174554</v>
      </c>
      <c r="R200" s="164">
        <f t="shared" si="425"/>
        <v>10632614064.318827</v>
      </c>
      <c r="S200" s="164">
        <f t="shared" si="425"/>
        <v>5599192582.4063873</v>
      </c>
      <c r="T200" s="164">
        <f t="shared" si="425"/>
        <v>2319179138.7844291</v>
      </c>
      <c r="U200" s="164">
        <f t="shared" si="425"/>
        <v>1253502942.7303081</v>
      </c>
      <c r="V200" s="164">
        <f t="shared" si="425"/>
        <v>15167704322.125559</v>
      </c>
      <c r="W200" s="164">
        <f t="shared" si="425"/>
        <v>3224862708.3935504</v>
      </c>
      <c r="X200" s="164">
        <f t="shared" si="425"/>
        <v>879716288.96368277</v>
      </c>
      <c r="Y200" s="164">
        <f t="shared" si="425"/>
        <v>1352312258.7098646</v>
      </c>
      <c r="Z200" s="164">
        <f t="shared" si="425"/>
        <v>3628739581.3412108</v>
      </c>
      <c r="AA200" s="164">
        <f t="shared" si="425"/>
        <v>1295772979.3831112</v>
      </c>
      <c r="AB200" s="164">
        <f t="shared" si="425"/>
        <v>978672509.88014591</v>
      </c>
      <c r="AC200" s="164">
        <f t="shared" si="425"/>
        <v>952343057.2891748</v>
      </c>
      <c r="AD200" s="164">
        <f t="shared" si="425"/>
        <v>3096674059.0498343</v>
      </c>
      <c r="AE200" s="164">
        <f t="shared" si="425"/>
        <v>1043491050.9073725</v>
      </c>
      <c r="AF200" s="219"/>
      <c r="AG200" s="219"/>
      <c r="AH200" s="219"/>
      <c r="AI200" s="219"/>
    </row>
    <row r="201" spans="1:35" x14ac:dyDescent="0.2">
      <c r="B201" s="9">
        <v>6</v>
      </c>
      <c r="C201" s="152" t="str">
        <f>'I1 General Inputs'!$C$20</f>
        <v>Option 5B</v>
      </c>
      <c r="D201" s="72"/>
      <c r="E201" s="77" t="s">
        <v>35</v>
      </c>
      <c r="F201" s="164">
        <v>0</v>
      </c>
      <c r="G201" s="164">
        <v>760582850.63019598</v>
      </c>
      <c r="H201" s="164">
        <v>748585511.9193368</v>
      </c>
      <c r="I201" s="164">
        <v>1075219916.9859414</v>
      </c>
      <c r="J201" s="164">
        <v>926989834.45109499</v>
      </c>
      <c r="K201" s="164">
        <v>766395496.14869821</v>
      </c>
      <c r="L201" s="164">
        <v>836194085.73766291</v>
      </c>
      <c r="M201" s="164">
        <v>831907339.16592109</v>
      </c>
      <c r="N201" s="164">
        <v>3185719105.9142017</v>
      </c>
      <c r="O201" s="164">
        <v>5645843065.9640226</v>
      </c>
      <c r="P201" s="164">
        <v>3561532245.1988339</v>
      </c>
      <c r="Q201" s="164">
        <v>854876735.42975414</v>
      </c>
      <c r="R201" s="164">
        <v>10674846066.528179</v>
      </c>
      <c r="S201" s="164">
        <v>5743503902.2016344</v>
      </c>
      <c r="T201" s="164">
        <v>2268057636.6929417</v>
      </c>
      <c r="U201" s="164">
        <v>1088109650.4871545</v>
      </c>
      <c r="V201" s="164">
        <v>15111668216.366428</v>
      </c>
      <c r="W201" s="164">
        <v>3621168280.1770768</v>
      </c>
      <c r="X201" s="164">
        <v>893022389.05363989</v>
      </c>
      <c r="Y201" s="164">
        <v>1292727819.1572886</v>
      </c>
      <c r="Z201" s="164">
        <v>3580678473.4237185</v>
      </c>
      <c r="AA201" s="164">
        <v>1385433063.1075945</v>
      </c>
      <c r="AB201" s="164">
        <v>902555522.44411707</v>
      </c>
      <c r="AC201" s="164">
        <v>951377323.62477815</v>
      </c>
      <c r="AD201" s="164">
        <v>3135263687.9079981</v>
      </c>
      <c r="AE201" s="164">
        <v>1038492637.1156384</v>
      </c>
      <c r="AF201" s="219"/>
      <c r="AG201" s="219"/>
      <c r="AH201" s="219"/>
      <c r="AI201" s="219"/>
    </row>
    <row r="202" spans="1:35" x14ac:dyDescent="0.2">
      <c r="E202" s="75"/>
    </row>
    <row r="203" spans="1:35" ht="15.75" x14ac:dyDescent="0.25">
      <c r="B203" s="69" t="s">
        <v>14</v>
      </c>
      <c r="C203" s="69" t="s">
        <v>13</v>
      </c>
      <c r="D203" s="94" t="s">
        <v>116</v>
      </c>
      <c r="E203" s="73" t="s">
        <v>7</v>
      </c>
      <c r="F203" s="69">
        <f>FirstYear</f>
        <v>2020</v>
      </c>
      <c r="G203" s="69">
        <f>+F203+1</f>
        <v>2021</v>
      </c>
      <c r="H203" s="69">
        <f t="shared" ref="H203" si="426">+G203+1</f>
        <v>2022</v>
      </c>
      <c r="I203" s="69">
        <f t="shared" ref="I203" si="427">+H203+1</f>
        <v>2023</v>
      </c>
      <c r="J203" s="69">
        <f t="shared" ref="J203" si="428">+I203+1</f>
        <v>2024</v>
      </c>
      <c r="K203" s="69">
        <f t="shared" ref="K203" si="429">+J203+1</f>
        <v>2025</v>
      </c>
      <c r="L203" s="69">
        <f t="shared" ref="L203" si="430">+K203+1</f>
        <v>2026</v>
      </c>
      <c r="M203" s="69">
        <f t="shared" ref="M203" si="431">+L203+1</f>
        <v>2027</v>
      </c>
      <c r="N203" s="69">
        <f t="shared" ref="N203" si="432">+M203+1</f>
        <v>2028</v>
      </c>
      <c r="O203" s="69">
        <f t="shared" ref="O203" si="433">+N203+1</f>
        <v>2029</v>
      </c>
      <c r="P203" s="69">
        <f t="shared" ref="P203" si="434">+O203+1</f>
        <v>2030</v>
      </c>
      <c r="Q203" s="69">
        <f t="shared" ref="Q203" si="435">+P203+1</f>
        <v>2031</v>
      </c>
      <c r="R203" s="69">
        <f t="shared" ref="R203" si="436">+Q203+1</f>
        <v>2032</v>
      </c>
      <c r="S203" s="69">
        <f t="shared" ref="S203" si="437">+R203+1</f>
        <v>2033</v>
      </c>
      <c r="T203" s="69">
        <f t="shared" ref="T203" si="438">+S203+1</f>
        <v>2034</v>
      </c>
      <c r="U203" s="69">
        <f t="shared" ref="U203" si="439">+T203+1</f>
        <v>2035</v>
      </c>
      <c r="V203" s="69">
        <f t="shared" ref="V203" si="440">+U203+1</f>
        <v>2036</v>
      </c>
      <c r="W203" s="69">
        <f t="shared" ref="W203" si="441">+V203+1</f>
        <v>2037</v>
      </c>
      <c r="X203" s="69">
        <f t="shared" ref="X203" si="442">+W203+1</f>
        <v>2038</v>
      </c>
      <c r="Y203" s="69">
        <f t="shared" ref="Y203" si="443">+X203+1</f>
        <v>2039</v>
      </c>
      <c r="Z203" s="69">
        <f t="shared" ref="Z203" si="444">+Y203+1</f>
        <v>2040</v>
      </c>
      <c r="AA203" s="69">
        <f t="shared" ref="AA203" si="445">+Z203+1</f>
        <v>2041</v>
      </c>
      <c r="AB203" s="69">
        <f t="shared" ref="AB203" si="446">+AA203+1</f>
        <v>2042</v>
      </c>
      <c r="AC203" s="69">
        <f t="shared" ref="AC203" si="447">+AB203+1</f>
        <v>2043</v>
      </c>
      <c r="AD203" s="69">
        <f t="shared" ref="AD203" si="448">+AC203+1</f>
        <v>2044</v>
      </c>
      <c r="AE203" s="69">
        <f t="shared" ref="AE203" si="449">+AD203+1</f>
        <v>2045</v>
      </c>
      <c r="AF203" s="218"/>
      <c r="AG203" s="218"/>
      <c r="AH203" s="218"/>
      <c r="AI203" s="218"/>
    </row>
    <row r="204" spans="1:35" x14ac:dyDescent="0.2">
      <c r="B204" s="9">
        <v>0</v>
      </c>
      <c r="C204" s="153" t="str">
        <f>'I1 General Inputs'!$C$14</f>
        <v>Base case</v>
      </c>
      <c r="D204" s="72"/>
      <c r="E204" s="77" t="s">
        <v>35</v>
      </c>
      <c r="F204" s="164">
        <v>0</v>
      </c>
      <c r="G204" s="164">
        <v>758716516.71804488</v>
      </c>
      <c r="H204" s="164">
        <v>747972680.15460896</v>
      </c>
      <c r="I204" s="164">
        <v>1448023468.6658716</v>
      </c>
      <c r="J204" s="164">
        <v>1101346254.2687383</v>
      </c>
      <c r="K204" s="164">
        <v>4792309676.5097523</v>
      </c>
      <c r="L204" s="164">
        <v>3190247238.4791641</v>
      </c>
      <c r="M204" s="164">
        <v>2463310463.9728355</v>
      </c>
      <c r="N204" s="164">
        <v>10359627624.529085</v>
      </c>
      <c r="O204" s="164">
        <v>5422987016.8983688</v>
      </c>
      <c r="P204" s="164">
        <v>4641308069.0501413</v>
      </c>
      <c r="Q204" s="164">
        <v>2246882947.1271706</v>
      </c>
      <c r="R204" s="164">
        <v>7285494738.7766972</v>
      </c>
      <c r="S204" s="164">
        <v>3325950529.9107327</v>
      </c>
      <c r="T204" s="164">
        <v>4038587082.1491456</v>
      </c>
      <c r="U204" s="164">
        <v>1288304371.2236652</v>
      </c>
      <c r="V204" s="164">
        <v>11791004491.221794</v>
      </c>
      <c r="W204" s="164">
        <v>3538729889.4368458</v>
      </c>
      <c r="X204" s="164">
        <v>2180694222.3811107</v>
      </c>
      <c r="Y204" s="164">
        <v>1375828144.0723152</v>
      </c>
      <c r="Z204" s="164">
        <v>4355104074.9274359</v>
      </c>
      <c r="AA204" s="164">
        <v>4462235364.0766096</v>
      </c>
      <c r="AB204" s="164">
        <v>1716987693.072741</v>
      </c>
      <c r="AC204" s="164">
        <v>756300729.98014021</v>
      </c>
      <c r="AD204" s="164">
        <v>5037247217.5406628</v>
      </c>
      <c r="AE204" s="164">
        <v>1115473949.7131934</v>
      </c>
      <c r="AF204" s="219"/>
      <c r="AG204" s="219"/>
      <c r="AH204" s="219"/>
      <c r="AI204" s="219"/>
    </row>
    <row r="205" spans="1:35" x14ac:dyDescent="0.2">
      <c r="B205" s="9">
        <v>1</v>
      </c>
      <c r="C205" s="152" t="str">
        <f>'I1 General Inputs'!$C$15</f>
        <v>Option 1A</v>
      </c>
      <c r="D205" s="72"/>
      <c r="E205" s="77" t="s">
        <v>35</v>
      </c>
      <c r="F205" s="164">
        <v>0</v>
      </c>
      <c r="G205" s="164">
        <v>758716492.26279604</v>
      </c>
      <c r="H205" s="164">
        <v>747967107.15666544</v>
      </c>
      <c r="I205" s="164">
        <v>1212898409.7120957</v>
      </c>
      <c r="J205" s="164">
        <v>1126535104.8899097</v>
      </c>
      <c r="K205" s="164">
        <v>4822390022.9481697</v>
      </c>
      <c r="L205" s="164">
        <v>3205849514.6075516</v>
      </c>
      <c r="M205" s="164">
        <v>2449954479.2965617</v>
      </c>
      <c r="N205" s="164">
        <v>10329316873.711657</v>
      </c>
      <c r="O205" s="164">
        <v>5398871777.1418924</v>
      </c>
      <c r="P205" s="164">
        <v>4612092798.5880737</v>
      </c>
      <c r="Q205" s="164">
        <v>2306740789.7255154</v>
      </c>
      <c r="R205" s="164">
        <v>7322958917.5603838</v>
      </c>
      <c r="S205" s="164">
        <v>3271135860.6473203</v>
      </c>
      <c r="T205" s="164">
        <v>4070943660.9790969</v>
      </c>
      <c r="U205" s="164">
        <v>1186386814.7091668</v>
      </c>
      <c r="V205" s="164">
        <v>11676404779.004543</v>
      </c>
      <c r="W205" s="164">
        <v>3533697488.4079757</v>
      </c>
      <c r="X205" s="164">
        <v>2250325670.2808824</v>
      </c>
      <c r="Y205" s="164">
        <v>1398936153.1889932</v>
      </c>
      <c r="Z205" s="164">
        <v>4346779091.0836906</v>
      </c>
      <c r="AA205" s="164">
        <v>4448646526.093545</v>
      </c>
      <c r="AB205" s="164">
        <v>1723025784.9313812</v>
      </c>
      <c r="AC205" s="164">
        <v>757173978.54329538</v>
      </c>
      <c r="AD205" s="164">
        <v>4961893122.932395</v>
      </c>
      <c r="AE205" s="164">
        <v>1128763584.6209776</v>
      </c>
      <c r="AF205" s="219"/>
      <c r="AG205" s="219"/>
      <c r="AH205" s="219"/>
      <c r="AI205" s="219"/>
    </row>
    <row r="206" spans="1:35" x14ac:dyDescent="0.2">
      <c r="B206" s="9">
        <v>2</v>
      </c>
      <c r="C206" s="152" t="str">
        <f>'I1 General Inputs'!$C$16</f>
        <v>Option 1B</v>
      </c>
      <c r="D206" s="72"/>
      <c r="E206" s="77" t="s">
        <v>35</v>
      </c>
      <c r="F206" s="164">
        <v>0</v>
      </c>
      <c r="G206" s="164">
        <v>758716931.94255626</v>
      </c>
      <c r="H206" s="164">
        <v>747971548.9338634</v>
      </c>
      <c r="I206" s="164">
        <v>1332117172.0464647</v>
      </c>
      <c r="J206" s="164">
        <v>1101913645.625016</v>
      </c>
      <c r="K206" s="164">
        <v>4871261917.4220209</v>
      </c>
      <c r="L206" s="164">
        <v>3209146903.8161497</v>
      </c>
      <c r="M206" s="164">
        <v>2431299108.1511083</v>
      </c>
      <c r="N206" s="164">
        <v>10312814917.19961</v>
      </c>
      <c r="O206" s="164">
        <v>5427698482.6767607</v>
      </c>
      <c r="P206" s="164">
        <v>4594924541.010191</v>
      </c>
      <c r="Q206" s="164">
        <v>2296091441.3249664</v>
      </c>
      <c r="R206" s="164">
        <v>7351608316.8964157</v>
      </c>
      <c r="S206" s="164">
        <v>3204568045.0240479</v>
      </c>
      <c r="T206" s="164">
        <v>4054690784.1012516</v>
      </c>
      <c r="U206" s="164">
        <v>1266120785.3266892</v>
      </c>
      <c r="V206" s="164">
        <v>11692762865.763523</v>
      </c>
      <c r="W206" s="164">
        <v>3550318881.0276704</v>
      </c>
      <c r="X206" s="164">
        <v>2188028836.7140675</v>
      </c>
      <c r="Y206" s="164">
        <v>1388158710.7642677</v>
      </c>
      <c r="Z206" s="164">
        <v>4352841344.8062992</v>
      </c>
      <c r="AA206" s="164">
        <v>4453149035.5165291</v>
      </c>
      <c r="AB206" s="164">
        <v>1726043062.7540591</v>
      </c>
      <c r="AC206" s="164">
        <v>757196091.32609737</v>
      </c>
      <c r="AD206" s="164">
        <v>4991467596.9898758</v>
      </c>
      <c r="AE206" s="164">
        <v>1122558376.7330222</v>
      </c>
      <c r="AF206" s="219"/>
      <c r="AG206" s="219"/>
      <c r="AH206" s="219"/>
      <c r="AI206" s="219"/>
    </row>
    <row r="207" spans="1:35" x14ac:dyDescent="0.2">
      <c r="B207" s="9">
        <v>3</v>
      </c>
      <c r="C207" s="152" t="str">
        <f>'I1 General Inputs'!$C$17</f>
        <v>Option 1C</v>
      </c>
      <c r="D207" s="72"/>
      <c r="E207" s="77" t="s">
        <v>35</v>
      </c>
      <c r="F207" s="164">
        <v>0</v>
      </c>
      <c r="G207" s="164">
        <v>758716429.48977268</v>
      </c>
      <c r="H207" s="164">
        <v>747973107.12949681</v>
      </c>
      <c r="I207" s="164">
        <v>1459542596.9370155</v>
      </c>
      <c r="J207" s="164">
        <v>1100651483.0584688</v>
      </c>
      <c r="K207" s="164">
        <v>4676648193.823967</v>
      </c>
      <c r="L207" s="164">
        <v>3158894533.2198181</v>
      </c>
      <c r="M207" s="164">
        <v>2477933450.6221585</v>
      </c>
      <c r="N207" s="164">
        <v>10388283961.476198</v>
      </c>
      <c r="O207" s="164">
        <v>5387866524.5884447</v>
      </c>
      <c r="P207" s="164">
        <v>4701189324.6653814</v>
      </c>
      <c r="Q207" s="164">
        <v>2225995712.7616529</v>
      </c>
      <c r="R207" s="164">
        <v>7279692284.0738897</v>
      </c>
      <c r="S207" s="164">
        <v>3384065514.0597086</v>
      </c>
      <c r="T207" s="164">
        <v>4041306836.897737</v>
      </c>
      <c r="U207" s="164">
        <v>1204260953.7005401</v>
      </c>
      <c r="V207" s="164">
        <v>11791594714.279182</v>
      </c>
      <c r="W207" s="164">
        <v>3547823193.144372</v>
      </c>
      <c r="X207" s="164">
        <v>2216692111.9764204</v>
      </c>
      <c r="Y207" s="164">
        <v>1395215271.7726824</v>
      </c>
      <c r="Z207" s="164">
        <v>4355034308.628562</v>
      </c>
      <c r="AA207" s="164">
        <v>4454821280.6116533</v>
      </c>
      <c r="AB207" s="164">
        <v>1719398207.2811832</v>
      </c>
      <c r="AC207" s="164">
        <v>756152911.08281302</v>
      </c>
      <c r="AD207" s="164">
        <v>5008516852.7780514</v>
      </c>
      <c r="AE207" s="164">
        <v>1114224288.695698</v>
      </c>
      <c r="AF207" s="219"/>
      <c r="AG207" s="219"/>
      <c r="AH207" s="219"/>
      <c r="AI207" s="219"/>
    </row>
    <row r="208" spans="1:35" x14ac:dyDescent="0.2">
      <c r="B208" s="9">
        <v>4</v>
      </c>
      <c r="C208" s="152" t="str">
        <f>'I1 General Inputs'!$C$18</f>
        <v>Option 1D</v>
      </c>
      <c r="D208" s="72"/>
      <c r="E208" s="77" t="s">
        <v>35</v>
      </c>
      <c r="F208" s="164">
        <v>0</v>
      </c>
      <c r="G208" s="164">
        <v>758716961.22085083</v>
      </c>
      <c r="H208" s="164">
        <v>747973394.65727019</v>
      </c>
      <c r="I208" s="164">
        <v>1444546600.8938334</v>
      </c>
      <c r="J208" s="164">
        <v>1107621161.7714338</v>
      </c>
      <c r="K208" s="164">
        <v>4689366059.6405315</v>
      </c>
      <c r="L208" s="164">
        <v>3173828930.7671494</v>
      </c>
      <c r="M208" s="164">
        <v>2474183083.8756857</v>
      </c>
      <c r="N208" s="164">
        <v>10386922132.881128</v>
      </c>
      <c r="O208" s="164">
        <v>5403500624.8208561</v>
      </c>
      <c r="P208" s="164">
        <v>4690407339.3631325</v>
      </c>
      <c r="Q208" s="164">
        <v>2218930260.2650223</v>
      </c>
      <c r="R208" s="164">
        <v>7316496146.8876801</v>
      </c>
      <c r="S208" s="164">
        <v>3345421068.8553767</v>
      </c>
      <c r="T208" s="164">
        <v>4018290010.4265227</v>
      </c>
      <c r="U208" s="164">
        <v>1290450629.9925027</v>
      </c>
      <c r="V208" s="164">
        <v>11765947207.70978</v>
      </c>
      <c r="W208" s="164">
        <v>3541764191.0894151</v>
      </c>
      <c r="X208" s="164">
        <v>2199654118.4479713</v>
      </c>
      <c r="Y208" s="164">
        <v>1388383588.7945879</v>
      </c>
      <c r="Z208" s="164">
        <v>4352638727.8654585</v>
      </c>
      <c r="AA208" s="164">
        <v>4462018253.8551722</v>
      </c>
      <c r="AB208" s="164">
        <v>1718315377.8766954</v>
      </c>
      <c r="AC208" s="164">
        <v>756135160.92350554</v>
      </c>
      <c r="AD208" s="164">
        <v>5029962347.5109444</v>
      </c>
      <c r="AE208" s="164">
        <v>1116069323.9759262</v>
      </c>
      <c r="AF208" s="219"/>
      <c r="AG208" s="219"/>
      <c r="AH208" s="219"/>
      <c r="AI208" s="219"/>
    </row>
    <row r="209" spans="2:35" x14ac:dyDescent="0.2">
      <c r="B209" s="9">
        <v>5</v>
      </c>
      <c r="C209" s="152" t="str">
        <f>'I1 General Inputs'!$C$19</f>
        <v>Option 5A</v>
      </c>
      <c r="D209" s="72"/>
      <c r="E209" s="77" t="s">
        <v>35</v>
      </c>
      <c r="F209" s="164">
        <v>0</v>
      </c>
      <c r="G209" s="164">
        <f>G204-(G204-G210)*$L$15</f>
        <v>758716516.71804488</v>
      </c>
      <c r="H209" s="164">
        <f t="shared" ref="H209:AE209" si="450">H204-(H204-H210)*$L$15</f>
        <v>747972680.15460896</v>
      </c>
      <c r="I209" s="164">
        <f t="shared" si="450"/>
        <v>1448023468.6658716</v>
      </c>
      <c r="J209" s="164">
        <f t="shared" si="450"/>
        <v>1101346254.2687383</v>
      </c>
      <c r="K209" s="164">
        <f t="shared" si="450"/>
        <v>4792309676.5097523</v>
      </c>
      <c r="L209" s="164">
        <f t="shared" si="450"/>
        <v>3190247238.4791641</v>
      </c>
      <c r="M209" s="164">
        <f t="shared" si="450"/>
        <v>2463310463.9728355</v>
      </c>
      <c r="N209" s="164">
        <f t="shared" si="450"/>
        <v>10359627624.529085</v>
      </c>
      <c r="O209" s="164">
        <f t="shared" si="450"/>
        <v>5422987016.8983688</v>
      </c>
      <c r="P209" s="164">
        <f t="shared" si="450"/>
        <v>4641308069.0501413</v>
      </c>
      <c r="Q209" s="164">
        <f t="shared" si="450"/>
        <v>2246882947.1271706</v>
      </c>
      <c r="R209" s="164">
        <f t="shared" si="450"/>
        <v>7285494738.7766972</v>
      </c>
      <c r="S209" s="164">
        <f t="shared" si="450"/>
        <v>3325950529.9107327</v>
      </c>
      <c r="T209" s="164">
        <f t="shared" si="450"/>
        <v>4038587082.1491456</v>
      </c>
      <c r="U209" s="164">
        <f t="shared" si="450"/>
        <v>1288304371.2236652</v>
      </c>
      <c r="V209" s="164">
        <f t="shared" si="450"/>
        <v>11791004491.221794</v>
      </c>
      <c r="W209" s="164">
        <f t="shared" si="450"/>
        <v>3538729889.4368458</v>
      </c>
      <c r="X209" s="164">
        <f t="shared" si="450"/>
        <v>2180694222.3811107</v>
      </c>
      <c r="Y209" s="164">
        <f t="shared" si="450"/>
        <v>1375828144.0723152</v>
      </c>
      <c r="Z209" s="164">
        <f t="shared" si="450"/>
        <v>4355104074.9274359</v>
      </c>
      <c r="AA209" s="164">
        <f t="shared" si="450"/>
        <v>4462235364.0766096</v>
      </c>
      <c r="AB209" s="164">
        <f t="shared" si="450"/>
        <v>1716987693.072741</v>
      </c>
      <c r="AC209" s="164">
        <f t="shared" si="450"/>
        <v>756300729.98014021</v>
      </c>
      <c r="AD209" s="164">
        <f t="shared" si="450"/>
        <v>5037247217.5406628</v>
      </c>
      <c r="AE209" s="164">
        <f t="shared" si="450"/>
        <v>1115473949.7131934</v>
      </c>
      <c r="AF209" s="219"/>
      <c r="AG209" s="219"/>
      <c r="AH209" s="219"/>
      <c r="AI209" s="219"/>
    </row>
    <row r="210" spans="2:35" x14ac:dyDescent="0.2">
      <c r="B210" s="9">
        <v>6</v>
      </c>
      <c r="C210" s="152" t="str">
        <f>'I1 General Inputs'!$C$20</f>
        <v>Option 5B</v>
      </c>
      <c r="D210" s="72"/>
      <c r="E210" s="77" t="s">
        <v>35</v>
      </c>
      <c r="F210" s="164">
        <v>0</v>
      </c>
      <c r="G210" s="164">
        <v>758716989.60418105</v>
      </c>
      <c r="H210" s="164">
        <v>747968523.13386619</v>
      </c>
      <c r="I210" s="164">
        <v>1162513105.8949041</v>
      </c>
      <c r="J210" s="164">
        <v>1127976082.6655648</v>
      </c>
      <c r="K210" s="164">
        <v>4823256158.0603199</v>
      </c>
      <c r="L210" s="164">
        <v>3214308341.0344367</v>
      </c>
      <c r="M210" s="164">
        <v>2451243900.1840181</v>
      </c>
      <c r="N210" s="164">
        <v>10320374578.751604</v>
      </c>
      <c r="O210" s="164">
        <v>5421273023.4827185</v>
      </c>
      <c r="P210" s="164">
        <v>4569472439.7045317</v>
      </c>
      <c r="Q210" s="164">
        <v>2328064694.4965434</v>
      </c>
      <c r="R210" s="164">
        <v>7307818703.8771772</v>
      </c>
      <c r="S210" s="164">
        <v>3260829911.2566032</v>
      </c>
      <c r="T210" s="164">
        <v>3993560656.7280393</v>
      </c>
      <c r="U210" s="164">
        <v>1248740430.4769299</v>
      </c>
      <c r="V210" s="164">
        <v>11687361612.615095</v>
      </c>
      <c r="W210" s="164">
        <v>3528052274.9790392</v>
      </c>
      <c r="X210" s="164">
        <v>2249972765.3383999</v>
      </c>
      <c r="Y210" s="164">
        <v>1431369300.9492135</v>
      </c>
      <c r="Z210" s="164">
        <v>4328218680.714138</v>
      </c>
      <c r="AA210" s="164">
        <v>4421135979.4467974</v>
      </c>
      <c r="AB210" s="164">
        <v>1732273949.5910201</v>
      </c>
      <c r="AC210" s="164">
        <v>756738999.19618225</v>
      </c>
      <c r="AD210" s="164">
        <v>4939040787.8377733</v>
      </c>
      <c r="AE210" s="164">
        <v>1126215418.5691872</v>
      </c>
      <c r="AF210" s="219"/>
      <c r="AG210" s="219"/>
      <c r="AH210" s="219"/>
      <c r="AI210" s="219"/>
    </row>
    <row r="211" spans="2:35" x14ac:dyDescent="0.2">
      <c r="E211" s="75"/>
    </row>
    <row r="212" spans="2:35" ht="15.75" x14ac:dyDescent="0.25">
      <c r="B212" s="69" t="s">
        <v>14</v>
      </c>
      <c r="C212" s="69" t="s">
        <v>13</v>
      </c>
      <c r="D212" s="69" t="s">
        <v>99</v>
      </c>
      <c r="E212" s="73" t="s">
        <v>7</v>
      </c>
      <c r="F212" s="69">
        <f>FirstYear</f>
        <v>2020</v>
      </c>
      <c r="G212" s="69">
        <f>+F212+1</f>
        <v>2021</v>
      </c>
      <c r="H212" s="69">
        <f t="shared" ref="H212" si="451">+G212+1</f>
        <v>2022</v>
      </c>
      <c r="I212" s="69">
        <f t="shared" ref="I212" si="452">+H212+1</f>
        <v>2023</v>
      </c>
      <c r="J212" s="69">
        <f t="shared" ref="J212" si="453">+I212+1</f>
        <v>2024</v>
      </c>
      <c r="K212" s="69">
        <f t="shared" ref="K212" si="454">+J212+1</f>
        <v>2025</v>
      </c>
      <c r="L212" s="69">
        <f t="shared" ref="L212" si="455">+K212+1</f>
        <v>2026</v>
      </c>
      <c r="M212" s="69">
        <f t="shared" ref="M212" si="456">+L212+1</f>
        <v>2027</v>
      </c>
      <c r="N212" s="69">
        <f t="shared" ref="N212" si="457">+M212+1</f>
        <v>2028</v>
      </c>
      <c r="O212" s="69">
        <f t="shared" ref="O212" si="458">+N212+1</f>
        <v>2029</v>
      </c>
      <c r="P212" s="69">
        <f t="shared" ref="P212" si="459">+O212+1</f>
        <v>2030</v>
      </c>
      <c r="Q212" s="69">
        <f t="shared" ref="Q212" si="460">+P212+1</f>
        <v>2031</v>
      </c>
      <c r="R212" s="69">
        <f t="shared" ref="R212" si="461">+Q212+1</f>
        <v>2032</v>
      </c>
      <c r="S212" s="69">
        <f t="shared" ref="S212" si="462">+R212+1</f>
        <v>2033</v>
      </c>
      <c r="T212" s="69">
        <f t="shared" ref="T212" si="463">+S212+1</f>
        <v>2034</v>
      </c>
      <c r="U212" s="69">
        <f t="shared" ref="U212" si="464">+T212+1</f>
        <v>2035</v>
      </c>
      <c r="V212" s="69">
        <f t="shared" ref="V212" si="465">+U212+1</f>
        <v>2036</v>
      </c>
      <c r="W212" s="69">
        <f t="shared" ref="W212" si="466">+V212+1</f>
        <v>2037</v>
      </c>
      <c r="X212" s="69">
        <f t="shared" ref="X212" si="467">+W212+1</f>
        <v>2038</v>
      </c>
      <c r="Y212" s="69">
        <f t="shared" ref="Y212" si="468">+X212+1</f>
        <v>2039</v>
      </c>
      <c r="Z212" s="69">
        <f t="shared" ref="Z212" si="469">+Y212+1</f>
        <v>2040</v>
      </c>
      <c r="AA212" s="69">
        <f t="shared" ref="AA212" si="470">+Z212+1</f>
        <v>2041</v>
      </c>
      <c r="AB212" s="69">
        <f t="shared" ref="AB212" si="471">+AA212+1</f>
        <v>2042</v>
      </c>
      <c r="AC212" s="69">
        <f t="shared" ref="AC212" si="472">+AB212+1</f>
        <v>2043</v>
      </c>
      <c r="AD212" s="69">
        <f t="shared" ref="AD212" si="473">+AC212+1</f>
        <v>2044</v>
      </c>
      <c r="AE212" s="69">
        <f t="shared" ref="AE212" si="474">+AD212+1</f>
        <v>2045</v>
      </c>
      <c r="AF212" s="218"/>
      <c r="AG212" s="218"/>
      <c r="AH212" s="218"/>
      <c r="AI212" s="218"/>
    </row>
    <row r="213" spans="2:35" x14ac:dyDescent="0.2">
      <c r="B213" s="9">
        <v>0</v>
      </c>
      <c r="C213" s="153" t="str">
        <f>'I1 General Inputs'!$C$14</f>
        <v>Base case</v>
      </c>
      <c r="D213" s="72"/>
      <c r="E213" s="77" t="s">
        <v>35</v>
      </c>
      <c r="F213" s="164">
        <v>0</v>
      </c>
      <c r="G213" s="164">
        <v>749369434.15451515</v>
      </c>
      <c r="H213" s="164">
        <v>726190082.30777597</v>
      </c>
      <c r="I213" s="164">
        <v>844146654.66079831</v>
      </c>
      <c r="J213" s="164">
        <v>696454562.80466247</v>
      </c>
      <c r="K213" s="164">
        <v>732982863.79007447</v>
      </c>
      <c r="L213" s="164">
        <v>842421041.67816365</v>
      </c>
      <c r="M213" s="164">
        <v>692575367.68226981</v>
      </c>
      <c r="N213" s="164">
        <v>757376500.77858233</v>
      </c>
      <c r="O213" s="164">
        <v>1499139164.3104935</v>
      </c>
      <c r="P213" s="164">
        <v>1394684419.2549803</v>
      </c>
      <c r="Q213" s="164">
        <v>625496960.99918008</v>
      </c>
      <c r="R213" s="164">
        <v>626305895.65689051</v>
      </c>
      <c r="S213" s="164">
        <v>1040124633.9890903</v>
      </c>
      <c r="T213" s="164">
        <v>1213936102.6436014</v>
      </c>
      <c r="U213" s="164">
        <v>627845473.64209247</v>
      </c>
      <c r="V213" s="164">
        <v>3924614803.4847097</v>
      </c>
      <c r="W213" s="164">
        <v>2881490701.3057833</v>
      </c>
      <c r="X213" s="164">
        <v>1822719203.6289723</v>
      </c>
      <c r="Y213" s="164">
        <v>1003909433.1292388</v>
      </c>
      <c r="Z213" s="164">
        <v>2241962302.3796501</v>
      </c>
      <c r="AA213" s="164">
        <v>2023902393.0765824</v>
      </c>
      <c r="AB213" s="164">
        <v>1370086740.8272879</v>
      </c>
      <c r="AC213" s="164">
        <v>861578361.77318871</v>
      </c>
      <c r="AD213" s="164">
        <v>1795473885.0164871</v>
      </c>
      <c r="AE213" s="164">
        <v>864797975.89221001</v>
      </c>
      <c r="AF213" s="219"/>
      <c r="AG213" s="219"/>
      <c r="AH213" s="219"/>
      <c r="AI213" s="219"/>
    </row>
    <row r="214" spans="2:35" x14ac:dyDescent="0.2">
      <c r="B214" s="9">
        <v>1</v>
      </c>
      <c r="C214" s="152" t="str">
        <f>'I1 General Inputs'!$C$15</f>
        <v>Option 1A</v>
      </c>
      <c r="D214" s="72"/>
      <c r="E214" s="77" t="s">
        <v>35</v>
      </c>
      <c r="F214" s="164">
        <v>0</v>
      </c>
      <c r="G214" s="164">
        <v>749367636.80924964</v>
      </c>
      <c r="H214" s="164">
        <v>726187507.3996048</v>
      </c>
      <c r="I214" s="164">
        <v>721801575.06413627</v>
      </c>
      <c r="J214" s="164">
        <v>695934895.50382292</v>
      </c>
      <c r="K214" s="164">
        <v>705540989.25441539</v>
      </c>
      <c r="L214" s="164">
        <v>849309163.46495008</v>
      </c>
      <c r="M214" s="164">
        <v>692219476.73973978</v>
      </c>
      <c r="N214" s="164">
        <v>767169390.44758201</v>
      </c>
      <c r="O214" s="164">
        <v>1360797465.0826123</v>
      </c>
      <c r="P214" s="164">
        <v>1381669814.9057345</v>
      </c>
      <c r="Q214" s="164">
        <v>626529960.44599974</v>
      </c>
      <c r="R214" s="164">
        <v>627098092.08334589</v>
      </c>
      <c r="S214" s="164">
        <v>1052600557.6416266</v>
      </c>
      <c r="T214" s="164">
        <v>1223127886.0486546</v>
      </c>
      <c r="U214" s="164">
        <v>628792428.68600547</v>
      </c>
      <c r="V214" s="164">
        <v>3918678430.4428754</v>
      </c>
      <c r="W214" s="164">
        <v>2772165619.8081136</v>
      </c>
      <c r="X214" s="164">
        <v>2009199196.3177128</v>
      </c>
      <c r="Y214" s="164">
        <v>974271002.62478817</v>
      </c>
      <c r="Z214" s="164">
        <v>2252233358.9587274</v>
      </c>
      <c r="AA214" s="164">
        <v>1994221030.5493844</v>
      </c>
      <c r="AB214" s="164">
        <v>1424690383.6649358</v>
      </c>
      <c r="AC214" s="164">
        <v>874227636.06202984</v>
      </c>
      <c r="AD214" s="164">
        <v>1778289077.502816</v>
      </c>
      <c r="AE214" s="164">
        <v>859611044.4189738</v>
      </c>
      <c r="AF214" s="219"/>
      <c r="AG214" s="219"/>
      <c r="AH214" s="219"/>
      <c r="AI214" s="219"/>
    </row>
    <row r="215" spans="2:35" x14ac:dyDescent="0.2">
      <c r="B215" s="9">
        <v>2</v>
      </c>
      <c r="C215" s="152" t="str">
        <f>'I1 General Inputs'!$C$16</f>
        <v>Option 1B</v>
      </c>
      <c r="D215" s="72"/>
      <c r="E215" s="77" t="s">
        <v>35</v>
      </c>
      <c r="F215" s="164">
        <v>0</v>
      </c>
      <c r="G215" s="164">
        <v>749367640.04370272</v>
      </c>
      <c r="H215" s="164">
        <v>726188929.08290398</v>
      </c>
      <c r="I215" s="164">
        <v>843667595.26105094</v>
      </c>
      <c r="J215" s="164">
        <v>695800623.70947707</v>
      </c>
      <c r="K215" s="164">
        <v>732332484.77997959</v>
      </c>
      <c r="L215" s="164">
        <v>843507253.52167177</v>
      </c>
      <c r="M215" s="164">
        <v>692265220.84955788</v>
      </c>
      <c r="N215" s="164">
        <v>756763041.39342952</v>
      </c>
      <c r="O215" s="164">
        <v>1489331199.5728576</v>
      </c>
      <c r="P215" s="164">
        <v>1389971171.6793621</v>
      </c>
      <c r="Q215" s="164">
        <v>625405430.41426075</v>
      </c>
      <c r="R215" s="164">
        <v>625976823.90587223</v>
      </c>
      <c r="S215" s="164">
        <v>1014761442.3218437</v>
      </c>
      <c r="T215" s="164">
        <v>1207083265.3634279</v>
      </c>
      <c r="U215" s="164">
        <v>627795109.81333315</v>
      </c>
      <c r="V215" s="164">
        <v>3975024307.3061557</v>
      </c>
      <c r="W215" s="164">
        <v>2819792064.4508634</v>
      </c>
      <c r="X215" s="164">
        <v>1987406761.4883776</v>
      </c>
      <c r="Y215" s="164">
        <v>1010171880.236805</v>
      </c>
      <c r="Z215" s="164">
        <v>2242524419.0426807</v>
      </c>
      <c r="AA215" s="164">
        <v>1948379347.361012</v>
      </c>
      <c r="AB215" s="164">
        <v>1419474162.4102967</v>
      </c>
      <c r="AC215" s="164">
        <v>864381015.08908749</v>
      </c>
      <c r="AD215" s="164">
        <v>1787792736.344327</v>
      </c>
      <c r="AE215" s="164">
        <v>859059424.38708055</v>
      </c>
      <c r="AF215" s="219"/>
      <c r="AG215" s="219"/>
      <c r="AH215" s="219"/>
      <c r="AI215" s="219"/>
    </row>
    <row r="216" spans="2:35" x14ac:dyDescent="0.2">
      <c r="B216" s="9">
        <v>3</v>
      </c>
      <c r="C216" s="152" t="str">
        <f>'I1 General Inputs'!$C$17</f>
        <v>Option 1C</v>
      </c>
      <c r="D216" s="72"/>
      <c r="E216" s="77" t="s">
        <v>35</v>
      </c>
      <c r="F216" s="164">
        <v>0</v>
      </c>
      <c r="G216" s="164">
        <v>749367704.62302268</v>
      </c>
      <c r="H216" s="164">
        <v>726188022.23001957</v>
      </c>
      <c r="I216" s="164">
        <v>723300749.9422133</v>
      </c>
      <c r="J216" s="164">
        <v>696599068.11704898</v>
      </c>
      <c r="K216" s="164">
        <v>705261610.00904858</v>
      </c>
      <c r="L216" s="164">
        <v>849833997.09472477</v>
      </c>
      <c r="M216" s="164">
        <v>692570398.45739317</v>
      </c>
      <c r="N216" s="164">
        <v>767543359.56552374</v>
      </c>
      <c r="O216" s="164">
        <v>1349627606.8508563</v>
      </c>
      <c r="P216" s="164">
        <v>1385998245.6476955</v>
      </c>
      <c r="Q216" s="164">
        <v>626813946.48137164</v>
      </c>
      <c r="R216" s="164">
        <v>627726051.32876444</v>
      </c>
      <c r="S216" s="164">
        <v>1086608436.7869012</v>
      </c>
      <c r="T216" s="164">
        <v>1216723429.9351993</v>
      </c>
      <c r="U216" s="164">
        <v>629041818.09392989</v>
      </c>
      <c r="V216" s="164">
        <v>3890552745.339819</v>
      </c>
      <c r="W216" s="164">
        <v>2853235192.8198986</v>
      </c>
      <c r="X216" s="164">
        <v>1832707996.4029479</v>
      </c>
      <c r="Y216" s="164">
        <v>998019037.52313745</v>
      </c>
      <c r="Z216" s="164">
        <v>2243740094.0945797</v>
      </c>
      <c r="AA216" s="164">
        <v>2028388146.1672621</v>
      </c>
      <c r="AB216" s="164">
        <v>1398208247.0662813</v>
      </c>
      <c r="AC216" s="164">
        <v>876596581.84748709</v>
      </c>
      <c r="AD216" s="164">
        <v>1789318191.6598153</v>
      </c>
      <c r="AE216" s="164">
        <v>857192366.78444314</v>
      </c>
      <c r="AF216" s="219"/>
      <c r="AG216" s="219"/>
      <c r="AH216" s="219"/>
      <c r="AI216" s="219"/>
    </row>
    <row r="217" spans="2:35" x14ac:dyDescent="0.2">
      <c r="B217" s="9">
        <v>4</v>
      </c>
      <c r="C217" s="152" t="str">
        <f>'I1 General Inputs'!$C$18</f>
        <v>Option 1D</v>
      </c>
      <c r="D217" s="72"/>
      <c r="E217" s="77" t="s">
        <v>35</v>
      </c>
      <c r="F217" s="164">
        <v>0</v>
      </c>
      <c r="G217" s="164">
        <v>749367639.59760642</v>
      </c>
      <c r="H217" s="164">
        <v>726188206.94319808</v>
      </c>
      <c r="I217" s="164">
        <v>735835266.38520539</v>
      </c>
      <c r="J217" s="164">
        <v>696581522.82094085</v>
      </c>
      <c r="K217" s="164">
        <v>705234709.18661165</v>
      </c>
      <c r="L217" s="164">
        <v>859847850.98691511</v>
      </c>
      <c r="M217" s="164">
        <v>692570320.92101502</v>
      </c>
      <c r="N217" s="164">
        <v>761067576.23138034</v>
      </c>
      <c r="O217" s="164">
        <v>1423111280.7802036</v>
      </c>
      <c r="P217" s="164">
        <v>1394921285.3810854</v>
      </c>
      <c r="Q217" s="164">
        <v>626356339.13425553</v>
      </c>
      <c r="R217" s="164">
        <v>627236271.04027939</v>
      </c>
      <c r="S217" s="164">
        <v>1054590194.9911911</v>
      </c>
      <c r="T217" s="164">
        <v>1219239541.2298386</v>
      </c>
      <c r="U217" s="164">
        <v>628609677.06019223</v>
      </c>
      <c r="V217" s="164">
        <v>3873056275.2195191</v>
      </c>
      <c r="W217" s="164">
        <v>2879490157.1226254</v>
      </c>
      <c r="X217" s="164">
        <v>1828295139.326582</v>
      </c>
      <c r="Y217" s="164">
        <v>1009835718.7670658</v>
      </c>
      <c r="Z217" s="164">
        <v>2250056421.3326001</v>
      </c>
      <c r="AA217" s="164">
        <v>2022740573.8428044</v>
      </c>
      <c r="AB217" s="164">
        <v>1398332895.5647268</v>
      </c>
      <c r="AC217" s="164">
        <v>869993288.62611902</v>
      </c>
      <c r="AD217" s="164">
        <v>1793195034.7677727</v>
      </c>
      <c r="AE217" s="164">
        <v>856288270.80928099</v>
      </c>
      <c r="AF217" s="219"/>
      <c r="AG217" s="219"/>
      <c r="AH217" s="219"/>
      <c r="AI217" s="219"/>
    </row>
    <row r="218" spans="2:35" x14ac:dyDescent="0.2">
      <c r="B218" s="9">
        <v>5</v>
      </c>
      <c r="C218" s="152" t="str">
        <f>'I1 General Inputs'!$C$19</f>
        <v>Option 5A</v>
      </c>
      <c r="D218" s="72"/>
      <c r="E218" s="77" t="s">
        <v>35</v>
      </c>
      <c r="F218" s="164">
        <v>0</v>
      </c>
      <c r="G218" s="164">
        <f>G213-(G213-G219)*$L$15</f>
        <v>749369434.15451515</v>
      </c>
      <c r="H218" s="164">
        <f t="shared" ref="H218:AE218" si="475">H213-(H213-H219)*$L$15</f>
        <v>726190082.30777597</v>
      </c>
      <c r="I218" s="164">
        <f t="shared" si="475"/>
        <v>844146654.66079831</v>
      </c>
      <c r="J218" s="164">
        <f t="shared" si="475"/>
        <v>696454562.80466247</v>
      </c>
      <c r="K218" s="164">
        <f t="shared" si="475"/>
        <v>732982863.79007447</v>
      </c>
      <c r="L218" s="164">
        <f t="shared" si="475"/>
        <v>842421041.67816365</v>
      </c>
      <c r="M218" s="164">
        <f t="shared" si="475"/>
        <v>692575367.68226981</v>
      </c>
      <c r="N218" s="164">
        <f t="shared" si="475"/>
        <v>757376500.77858233</v>
      </c>
      <c r="O218" s="164">
        <f t="shared" si="475"/>
        <v>1499139164.3104935</v>
      </c>
      <c r="P218" s="164">
        <f t="shared" si="475"/>
        <v>1394684419.2549803</v>
      </c>
      <c r="Q218" s="164">
        <f t="shared" si="475"/>
        <v>625496960.99918008</v>
      </c>
      <c r="R218" s="164">
        <f t="shared" si="475"/>
        <v>626305895.65689051</v>
      </c>
      <c r="S218" s="164">
        <f t="shared" si="475"/>
        <v>1040124633.9890903</v>
      </c>
      <c r="T218" s="164">
        <f t="shared" si="475"/>
        <v>1213936102.6436014</v>
      </c>
      <c r="U218" s="164">
        <f t="shared" si="475"/>
        <v>627845473.64209247</v>
      </c>
      <c r="V218" s="164">
        <f t="shared" si="475"/>
        <v>3924614803.4847097</v>
      </c>
      <c r="W218" s="164">
        <f t="shared" si="475"/>
        <v>2881490701.3057833</v>
      </c>
      <c r="X218" s="164">
        <f t="shared" si="475"/>
        <v>1822719203.6289723</v>
      </c>
      <c r="Y218" s="164">
        <f t="shared" si="475"/>
        <v>1003909433.1292388</v>
      </c>
      <c r="Z218" s="164">
        <f t="shared" si="475"/>
        <v>2241962302.3796501</v>
      </c>
      <c r="AA218" s="164">
        <f t="shared" si="475"/>
        <v>2023902393.0765824</v>
      </c>
      <c r="AB218" s="164">
        <f t="shared" si="475"/>
        <v>1370086740.8272879</v>
      </c>
      <c r="AC218" s="164">
        <f t="shared" si="475"/>
        <v>861578361.77318871</v>
      </c>
      <c r="AD218" s="164">
        <f t="shared" si="475"/>
        <v>1795473885.0164871</v>
      </c>
      <c r="AE218" s="164">
        <f t="shared" si="475"/>
        <v>864797975.89221001</v>
      </c>
      <c r="AF218" s="219"/>
      <c r="AG218" s="219"/>
      <c r="AH218" s="219"/>
      <c r="AI218" s="219"/>
    </row>
    <row r="219" spans="2:35" x14ac:dyDescent="0.2">
      <c r="B219" s="9">
        <v>6</v>
      </c>
      <c r="C219" s="152" t="str">
        <f>'I1 General Inputs'!$C$20</f>
        <v>Option 5B</v>
      </c>
      <c r="D219" s="72"/>
      <c r="E219" s="77" t="s">
        <v>35</v>
      </c>
      <c r="F219" s="164">
        <v>0</v>
      </c>
      <c r="G219" s="164">
        <v>749368225.06620514</v>
      </c>
      <c r="H219" s="164">
        <v>726182621.86523342</v>
      </c>
      <c r="I219" s="164">
        <v>706852017.7727176</v>
      </c>
      <c r="J219" s="164">
        <v>695932509.4085598</v>
      </c>
      <c r="K219" s="164">
        <v>704552364.4180367</v>
      </c>
      <c r="L219" s="164">
        <v>858403502.95391285</v>
      </c>
      <c r="M219" s="164">
        <v>692282985.89970374</v>
      </c>
      <c r="N219" s="164">
        <v>738244708.25229192</v>
      </c>
      <c r="O219" s="164">
        <v>1369277857.0668561</v>
      </c>
      <c r="P219" s="164">
        <v>1047111660.134786</v>
      </c>
      <c r="Q219" s="164">
        <v>628345448.19070423</v>
      </c>
      <c r="R219" s="164">
        <v>628823206.1681422</v>
      </c>
      <c r="S219" s="164">
        <v>969034119.86194873</v>
      </c>
      <c r="T219" s="164">
        <v>1231364562.0607166</v>
      </c>
      <c r="U219" s="164">
        <v>631490650.58493924</v>
      </c>
      <c r="V219" s="164">
        <v>3876051426.1728477</v>
      </c>
      <c r="W219" s="164">
        <v>2554462849.0306087</v>
      </c>
      <c r="X219" s="164">
        <v>2176697656.0426307</v>
      </c>
      <c r="Y219" s="164">
        <v>1047869472.4457375</v>
      </c>
      <c r="Z219" s="164">
        <v>2373607614.9880552</v>
      </c>
      <c r="AA219" s="164">
        <v>2013930331.340354</v>
      </c>
      <c r="AB219" s="164">
        <v>1493876453.2146308</v>
      </c>
      <c r="AC219" s="164">
        <v>852491514.21481323</v>
      </c>
      <c r="AD219" s="164">
        <v>1717825094.4257746</v>
      </c>
      <c r="AE219" s="164">
        <v>880898160.31164658</v>
      </c>
      <c r="AF219" s="219"/>
      <c r="AG219" s="219"/>
      <c r="AH219" s="219"/>
      <c r="AI219" s="219"/>
    </row>
    <row r="220" spans="2:35" x14ac:dyDescent="0.2">
      <c r="E220" s="75"/>
    </row>
    <row r="221" spans="2:35" ht="15.75" x14ac:dyDescent="0.25">
      <c r="B221" s="69" t="s">
        <v>14</v>
      </c>
      <c r="C221" s="69" t="s">
        <v>13</v>
      </c>
      <c r="D221" s="69" t="s">
        <v>100</v>
      </c>
      <c r="E221" s="73" t="s">
        <v>7</v>
      </c>
      <c r="F221" s="69">
        <f>FirstYear</f>
        <v>2020</v>
      </c>
      <c r="G221" s="69">
        <f>+F221+1</f>
        <v>2021</v>
      </c>
      <c r="H221" s="69">
        <f t="shared" ref="H221" si="476">+G221+1</f>
        <v>2022</v>
      </c>
      <c r="I221" s="69">
        <f t="shared" ref="I221" si="477">+H221+1</f>
        <v>2023</v>
      </c>
      <c r="J221" s="69">
        <f t="shared" ref="J221" si="478">+I221+1</f>
        <v>2024</v>
      </c>
      <c r="K221" s="69">
        <f t="shared" ref="K221" si="479">+J221+1</f>
        <v>2025</v>
      </c>
      <c r="L221" s="69">
        <f t="shared" ref="L221" si="480">+K221+1</f>
        <v>2026</v>
      </c>
      <c r="M221" s="69">
        <f t="shared" ref="M221" si="481">+L221+1</f>
        <v>2027</v>
      </c>
      <c r="N221" s="69">
        <f t="shared" ref="N221" si="482">+M221+1</f>
        <v>2028</v>
      </c>
      <c r="O221" s="69">
        <f t="shared" ref="O221" si="483">+N221+1</f>
        <v>2029</v>
      </c>
      <c r="P221" s="69">
        <f t="shared" ref="P221" si="484">+O221+1</f>
        <v>2030</v>
      </c>
      <c r="Q221" s="69">
        <f t="shared" ref="Q221" si="485">+P221+1</f>
        <v>2031</v>
      </c>
      <c r="R221" s="69">
        <f t="shared" ref="R221" si="486">+Q221+1</f>
        <v>2032</v>
      </c>
      <c r="S221" s="69">
        <f t="shared" ref="S221" si="487">+R221+1</f>
        <v>2033</v>
      </c>
      <c r="T221" s="69">
        <f t="shared" ref="T221" si="488">+S221+1</f>
        <v>2034</v>
      </c>
      <c r="U221" s="69">
        <f t="shared" ref="U221" si="489">+T221+1</f>
        <v>2035</v>
      </c>
      <c r="V221" s="69">
        <f t="shared" ref="V221" si="490">+U221+1</f>
        <v>2036</v>
      </c>
      <c r="W221" s="69">
        <f t="shared" ref="W221" si="491">+V221+1</f>
        <v>2037</v>
      </c>
      <c r="X221" s="69">
        <f t="shared" ref="X221" si="492">+W221+1</f>
        <v>2038</v>
      </c>
      <c r="Y221" s="69">
        <f t="shared" ref="Y221" si="493">+X221+1</f>
        <v>2039</v>
      </c>
      <c r="Z221" s="69">
        <f t="shared" ref="Z221" si="494">+Y221+1</f>
        <v>2040</v>
      </c>
      <c r="AA221" s="69">
        <f t="shared" ref="AA221" si="495">+Z221+1</f>
        <v>2041</v>
      </c>
      <c r="AB221" s="69">
        <f t="shared" ref="AB221" si="496">+AA221+1</f>
        <v>2042</v>
      </c>
      <c r="AC221" s="69">
        <f t="shared" ref="AC221" si="497">+AB221+1</f>
        <v>2043</v>
      </c>
      <c r="AD221" s="69">
        <f t="shared" ref="AD221" si="498">+AC221+1</f>
        <v>2044</v>
      </c>
      <c r="AE221" s="69">
        <f t="shared" ref="AE221" si="499">+AD221+1</f>
        <v>2045</v>
      </c>
      <c r="AF221" s="218"/>
      <c r="AG221" s="218"/>
      <c r="AH221" s="218"/>
      <c r="AI221" s="218"/>
    </row>
    <row r="222" spans="2:35" x14ac:dyDescent="0.2">
      <c r="B222" s="9">
        <v>0</v>
      </c>
      <c r="C222" s="153" t="str">
        <f>'I1 General Inputs'!$C$14</f>
        <v>Base case</v>
      </c>
      <c r="D222" s="72"/>
      <c r="E222" s="77" t="s">
        <v>35</v>
      </c>
      <c r="F222" s="164">
        <v>0</v>
      </c>
      <c r="G222" s="164">
        <v>803316698.30750418</v>
      </c>
      <c r="H222" s="164">
        <v>860746684.61396611</v>
      </c>
      <c r="I222" s="164">
        <v>1881257075.4547207</v>
      </c>
      <c r="J222" s="164">
        <v>2381054365.5479898</v>
      </c>
      <c r="K222" s="164">
        <v>6216478228.1126499</v>
      </c>
      <c r="L222" s="164">
        <v>4560744796.2183056</v>
      </c>
      <c r="M222" s="164">
        <v>4055461440.7896953</v>
      </c>
      <c r="N222" s="164">
        <v>11394666100.808422</v>
      </c>
      <c r="O222" s="164">
        <v>6598479621.6758089</v>
      </c>
      <c r="P222" s="164">
        <v>5974584165.9805107</v>
      </c>
      <c r="Q222" s="164">
        <v>4590509703.789402</v>
      </c>
      <c r="R222" s="164">
        <v>9056102167.8185291</v>
      </c>
      <c r="S222" s="164">
        <v>4280960588.3078713</v>
      </c>
      <c r="T222" s="164">
        <v>3416985020.2690988</v>
      </c>
      <c r="U222" s="164">
        <v>2011457906.1649456</v>
      </c>
      <c r="V222" s="164">
        <v>13655272190.448002</v>
      </c>
      <c r="W222" s="164">
        <v>4823941425.196537</v>
      </c>
      <c r="X222" s="164">
        <v>3179697945.4669809</v>
      </c>
      <c r="Y222" s="164">
        <v>1701188560.8302767</v>
      </c>
      <c r="Z222" s="164">
        <v>5670216198.4107199</v>
      </c>
      <c r="AA222" s="164">
        <v>4716798587.416296</v>
      </c>
      <c r="AB222" s="164">
        <v>1633137888.6751988</v>
      </c>
      <c r="AC222" s="164">
        <v>928773041.43599892</v>
      </c>
      <c r="AD222" s="164">
        <v>4279397714.0711722</v>
      </c>
      <c r="AE222" s="164">
        <v>1443543911.753818</v>
      </c>
      <c r="AF222" s="219"/>
      <c r="AG222" s="219"/>
      <c r="AH222" s="219"/>
      <c r="AI222" s="219"/>
    </row>
    <row r="223" spans="2:35" x14ac:dyDescent="0.2">
      <c r="B223" s="9">
        <v>1</v>
      </c>
      <c r="C223" s="152" t="str">
        <f>'I1 General Inputs'!$C$15</f>
        <v>Option 1A</v>
      </c>
      <c r="D223" s="72"/>
      <c r="E223" s="77" t="s">
        <v>35</v>
      </c>
      <c r="F223" s="164">
        <v>0</v>
      </c>
      <c r="G223" s="164">
        <v>803315859.92221022</v>
      </c>
      <c r="H223" s="164">
        <v>827678663.52231085</v>
      </c>
      <c r="I223" s="164">
        <v>1725265821.489886</v>
      </c>
      <c r="J223" s="164">
        <v>2203985101.4385967</v>
      </c>
      <c r="K223" s="164">
        <v>6266601526.0660343</v>
      </c>
      <c r="L223" s="164">
        <v>4622979283.0124912</v>
      </c>
      <c r="M223" s="164">
        <v>4088903335.0996675</v>
      </c>
      <c r="N223" s="164">
        <v>11340737348.719851</v>
      </c>
      <c r="O223" s="164">
        <v>6663796045.76546</v>
      </c>
      <c r="P223" s="164">
        <v>6007319325.590416</v>
      </c>
      <c r="Q223" s="164">
        <v>4678265101.7100563</v>
      </c>
      <c r="R223" s="164">
        <v>8885987790.1554432</v>
      </c>
      <c r="S223" s="164">
        <v>4249979335.7776709</v>
      </c>
      <c r="T223" s="164">
        <v>3458281776.0495515</v>
      </c>
      <c r="U223" s="164">
        <v>1926680195.9649458</v>
      </c>
      <c r="V223" s="164">
        <v>13494708833.832355</v>
      </c>
      <c r="W223" s="164">
        <v>4923284891.8611383</v>
      </c>
      <c r="X223" s="164">
        <v>3195350484.1176405</v>
      </c>
      <c r="Y223" s="164">
        <v>1738767550.2396352</v>
      </c>
      <c r="Z223" s="164">
        <v>5511264310.3470688</v>
      </c>
      <c r="AA223" s="164">
        <v>4698796238.5921059</v>
      </c>
      <c r="AB223" s="164">
        <v>1497024969.758271</v>
      </c>
      <c r="AC223" s="164">
        <v>942095734.80037093</v>
      </c>
      <c r="AD223" s="164">
        <v>4307629451.2989473</v>
      </c>
      <c r="AE223" s="164">
        <v>1423745807.593679</v>
      </c>
      <c r="AF223" s="219"/>
      <c r="AG223" s="219"/>
      <c r="AH223" s="219"/>
      <c r="AI223" s="219"/>
    </row>
    <row r="224" spans="2:35" x14ac:dyDescent="0.2">
      <c r="B224" s="9">
        <v>2</v>
      </c>
      <c r="C224" s="152" t="str">
        <f>'I1 General Inputs'!$C$16</f>
        <v>Option 1B</v>
      </c>
      <c r="D224" s="72"/>
      <c r="E224" s="77" t="s">
        <v>35</v>
      </c>
      <c r="F224" s="164">
        <v>0</v>
      </c>
      <c r="G224" s="164">
        <v>803317085.33100486</v>
      </c>
      <c r="H224" s="164">
        <v>860738858.31487215</v>
      </c>
      <c r="I224" s="164">
        <v>1890933657.5376649</v>
      </c>
      <c r="J224" s="164">
        <v>2303343107.7816143</v>
      </c>
      <c r="K224" s="164">
        <v>6247055191.7266378</v>
      </c>
      <c r="L224" s="164">
        <v>4591291725.3881769</v>
      </c>
      <c r="M224" s="164">
        <v>4058397199.2049294</v>
      </c>
      <c r="N224" s="164">
        <v>11341767758.215982</v>
      </c>
      <c r="O224" s="164">
        <v>6586454831.5932064</v>
      </c>
      <c r="P224" s="164">
        <v>5965404320.1014471</v>
      </c>
      <c r="Q224" s="164">
        <v>4657097191.1317863</v>
      </c>
      <c r="R224" s="164">
        <v>8953284774.187809</v>
      </c>
      <c r="S224" s="164">
        <v>4267425023.3878155</v>
      </c>
      <c r="T224" s="164">
        <v>3463498865.9743109</v>
      </c>
      <c r="U224" s="164">
        <v>1967920041.9300532</v>
      </c>
      <c r="V224" s="164">
        <v>13487955525.622364</v>
      </c>
      <c r="W224" s="164">
        <v>4884042245.4608135</v>
      </c>
      <c r="X224" s="164">
        <v>3191782388.9239998</v>
      </c>
      <c r="Y224" s="164">
        <v>1701045138.2563634</v>
      </c>
      <c r="Z224" s="164">
        <v>5637531217.3495264</v>
      </c>
      <c r="AA224" s="164">
        <v>4702610850.1858425</v>
      </c>
      <c r="AB224" s="164">
        <v>1501875733.9263902</v>
      </c>
      <c r="AC224" s="164">
        <v>942726496.4590385</v>
      </c>
      <c r="AD224" s="164">
        <v>4289190876.7737293</v>
      </c>
      <c r="AE224" s="164">
        <v>1435247523.8595004</v>
      </c>
      <c r="AF224" s="219"/>
      <c r="AG224" s="219"/>
      <c r="AH224" s="219"/>
      <c r="AI224" s="219"/>
    </row>
    <row r="225" spans="2:35" x14ac:dyDescent="0.2">
      <c r="B225" s="9">
        <v>3</v>
      </c>
      <c r="C225" s="152" t="str">
        <f>'I1 General Inputs'!$C$17</f>
        <v>Option 1C</v>
      </c>
      <c r="D225" s="72"/>
      <c r="E225" s="77" t="s">
        <v>35</v>
      </c>
      <c r="F225" s="164">
        <v>0</v>
      </c>
      <c r="G225" s="164">
        <v>803315787.04347038</v>
      </c>
      <c r="H225" s="164">
        <v>847662371.58663154</v>
      </c>
      <c r="I225" s="164">
        <v>1848946862.1540136</v>
      </c>
      <c r="J225" s="164">
        <v>2209286420.9250522</v>
      </c>
      <c r="K225" s="164">
        <v>6197661074.3208942</v>
      </c>
      <c r="L225" s="164">
        <v>4579075819.084156</v>
      </c>
      <c r="M225" s="164">
        <v>4084146653.8017344</v>
      </c>
      <c r="N225" s="164">
        <v>11388179592.404016</v>
      </c>
      <c r="O225" s="164">
        <v>6660991583.6895962</v>
      </c>
      <c r="P225" s="164">
        <v>6041762911.5474758</v>
      </c>
      <c r="Q225" s="164">
        <v>4623887109.2461634</v>
      </c>
      <c r="R225" s="164">
        <v>8964250508.1169662</v>
      </c>
      <c r="S225" s="164">
        <v>4290941324.6068978</v>
      </c>
      <c r="T225" s="164">
        <v>3354919673.2832785</v>
      </c>
      <c r="U225" s="164">
        <v>1971579027.0216355</v>
      </c>
      <c r="V225" s="164">
        <v>13667703110.008335</v>
      </c>
      <c r="W225" s="164">
        <v>4909334755.363162</v>
      </c>
      <c r="X225" s="164">
        <v>3194318311.5952272</v>
      </c>
      <c r="Y225" s="164">
        <v>1724274840.7308595</v>
      </c>
      <c r="Z225" s="164">
        <v>5556744506.8162861</v>
      </c>
      <c r="AA225" s="164">
        <v>4713908887.9777746</v>
      </c>
      <c r="AB225" s="164">
        <v>1626468546.341965</v>
      </c>
      <c r="AC225" s="164">
        <v>929006890.26166832</v>
      </c>
      <c r="AD225" s="164">
        <v>4284194471.5794334</v>
      </c>
      <c r="AE225" s="164">
        <v>1439143515.0511386</v>
      </c>
      <c r="AF225" s="219"/>
      <c r="AG225" s="219"/>
      <c r="AH225" s="219"/>
      <c r="AI225" s="219"/>
    </row>
    <row r="226" spans="2:35" x14ac:dyDescent="0.2">
      <c r="B226" s="9">
        <v>4</v>
      </c>
      <c r="C226" s="152" t="str">
        <f>'I1 General Inputs'!$C$18</f>
        <v>Option 1D</v>
      </c>
      <c r="D226" s="72"/>
      <c r="E226" s="77" t="s">
        <v>35</v>
      </c>
      <c r="F226" s="164">
        <v>0</v>
      </c>
      <c r="G226" s="164">
        <v>803316589.83101332</v>
      </c>
      <c r="H226" s="164">
        <v>860757121.84196925</v>
      </c>
      <c r="I226" s="164">
        <v>1833930942.5927677</v>
      </c>
      <c r="J226" s="164">
        <v>2210116689.6132464</v>
      </c>
      <c r="K226" s="164">
        <v>6223567393.195075</v>
      </c>
      <c r="L226" s="164">
        <v>4576041930.5502672</v>
      </c>
      <c r="M226" s="164">
        <v>4083609182.2899189</v>
      </c>
      <c r="N226" s="164">
        <v>11419051272.668476</v>
      </c>
      <c r="O226" s="164">
        <v>6641704015.5338039</v>
      </c>
      <c r="P226" s="164">
        <v>6022976582.9710436</v>
      </c>
      <c r="Q226" s="164">
        <v>4620670045.781127</v>
      </c>
      <c r="R226" s="164">
        <v>9013931263.2342892</v>
      </c>
      <c r="S226" s="164">
        <v>4291124828.1832619</v>
      </c>
      <c r="T226" s="164">
        <v>3356159918.1759562</v>
      </c>
      <c r="U226" s="164">
        <v>2043584929.9342027</v>
      </c>
      <c r="V226" s="164">
        <v>13649532718.089752</v>
      </c>
      <c r="W226" s="164">
        <v>4825929227.1626606</v>
      </c>
      <c r="X226" s="164">
        <v>3196318875.2580266</v>
      </c>
      <c r="Y226" s="164">
        <v>1716385875.9811869</v>
      </c>
      <c r="Z226" s="164">
        <v>5657431761.1722193</v>
      </c>
      <c r="AA226" s="164">
        <v>4721546947.3573151</v>
      </c>
      <c r="AB226" s="164">
        <v>1624480304.5586941</v>
      </c>
      <c r="AC226" s="164">
        <v>929179235.51885867</v>
      </c>
      <c r="AD226" s="164">
        <v>4280031357.8708243</v>
      </c>
      <c r="AE226" s="164">
        <v>1440383628.6111958</v>
      </c>
      <c r="AF226" s="219"/>
      <c r="AG226" s="219"/>
      <c r="AH226" s="219"/>
      <c r="AI226" s="219"/>
    </row>
    <row r="227" spans="2:35" x14ac:dyDescent="0.2">
      <c r="B227" s="9">
        <v>5</v>
      </c>
      <c r="C227" s="152" t="str">
        <f>'I1 General Inputs'!$C$19</f>
        <v>Option 5A</v>
      </c>
      <c r="D227" s="72"/>
      <c r="E227" s="77" t="s">
        <v>35</v>
      </c>
      <c r="F227" s="164">
        <v>0</v>
      </c>
      <c r="G227" s="164">
        <f>G222-(G222-G228)*$L$15</f>
        <v>803316698.30750418</v>
      </c>
      <c r="H227" s="164">
        <f t="shared" ref="H227:AE227" si="500">H222-(H222-H228)*$L$15</f>
        <v>860746684.61396611</v>
      </c>
      <c r="I227" s="164">
        <f t="shared" si="500"/>
        <v>1881257075.4547207</v>
      </c>
      <c r="J227" s="164">
        <f t="shared" si="500"/>
        <v>2381054365.5479898</v>
      </c>
      <c r="K227" s="164">
        <f t="shared" si="500"/>
        <v>6216478228.1126499</v>
      </c>
      <c r="L227" s="164">
        <f t="shared" si="500"/>
        <v>4560744796.2183056</v>
      </c>
      <c r="M227" s="164">
        <f t="shared" si="500"/>
        <v>4055461440.7896953</v>
      </c>
      <c r="N227" s="164">
        <f t="shared" si="500"/>
        <v>11394666100.808422</v>
      </c>
      <c r="O227" s="164">
        <f t="shared" si="500"/>
        <v>6598479621.6758089</v>
      </c>
      <c r="P227" s="164">
        <f t="shared" si="500"/>
        <v>5974584165.9805107</v>
      </c>
      <c r="Q227" s="164">
        <f t="shared" si="500"/>
        <v>4590509703.789402</v>
      </c>
      <c r="R227" s="164">
        <f t="shared" si="500"/>
        <v>9056102167.8185291</v>
      </c>
      <c r="S227" s="164">
        <f t="shared" si="500"/>
        <v>4280960588.3078713</v>
      </c>
      <c r="T227" s="164">
        <f t="shared" si="500"/>
        <v>3416985020.2690988</v>
      </c>
      <c r="U227" s="164">
        <f t="shared" si="500"/>
        <v>2011457906.1649456</v>
      </c>
      <c r="V227" s="164">
        <f t="shared" si="500"/>
        <v>13655272190.448002</v>
      </c>
      <c r="W227" s="164">
        <f t="shared" si="500"/>
        <v>4823941425.196537</v>
      </c>
      <c r="X227" s="164">
        <f t="shared" si="500"/>
        <v>3179697945.4669809</v>
      </c>
      <c r="Y227" s="164">
        <f t="shared" si="500"/>
        <v>1701188560.8302767</v>
      </c>
      <c r="Z227" s="164">
        <f t="shared" si="500"/>
        <v>5670216198.4107199</v>
      </c>
      <c r="AA227" s="164">
        <f t="shared" si="500"/>
        <v>4716798587.416296</v>
      </c>
      <c r="AB227" s="164">
        <f t="shared" si="500"/>
        <v>1633137888.6751988</v>
      </c>
      <c r="AC227" s="164">
        <f t="shared" si="500"/>
        <v>928773041.43599892</v>
      </c>
      <c r="AD227" s="164">
        <f t="shared" si="500"/>
        <v>4279397714.0711722</v>
      </c>
      <c r="AE227" s="164">
        <f t="shared" si="500"/>
        <v>1443543911.753818</v>
      </c>
      <c r="AF227" s="219"/>
      <c r="AG227" s="219"/>
      <c r="AH227" s="219"/>
      <c r="AI227" s="219"/>
    </row>
    <row r="228" spans="2:35" x14ac:dyDescent="0.2">
      <c r="B228" s="9">
        <v>6</v>
      </c>
      <c r="C228" s="152" t="str">
        <f>'I1 General Inputs'!$C$20</f>
        <v>Option 5B</v>
      </c>
      <c r="D228" s="72"/>
      <c r="E228" s="77" t="s">
        <v>35</v>
      </c>
      <c r="F228" s="164">
        <v>0</v>
      </c>
      <c r="G228" s="164">
        <v>803316018.2902751</v>
      </c>
      <c r="H228" s="164">
        <v>855513358.56707418</v>
      </c>
      <c r="I228" s="164">
        <v>1618778725.3703773</v>
      </c>
      <c r="J228" s="164">
        <v>2304835270.8995371</v>
      </c>
      <c r="K228" s="164">
        <v>6212073276.0216961</v>
      </c>
      <c r="L228" s="164">
        <v>4635999024.5063925</v>
      </c>
      <c r="M228" s="164">
        <v>4094798083.0299711</v>
      </c>
      <c r="N228" s="164">
        <v>11343376589.827299</v>
      </c>
      <c r="O228" s="164">
        <v>6701335134.5401669</v>
      </c>
      <c r="P228" s="164">
        <v>5907641168.5380964</v>
      </c>
      <c r="Q228" s="164">
        <v>4712615922.6241827</v>
      </c>
      <c r="R228" s="164">
        <v>8871425410.9895554</v>
      </c>
      <c r="S228" s="164">
        <v>4257143582.6786418</v>
      </c>
      <c r="T228" s="164">
        <v>3439249420.5600028</v>
      </c>
      <c r="U228" s="164">
        <v>1958822076.4177549</v>
      </c>
      <c r="V228" s="164">
        <v>13479654522.792965</v>
      </c>
      <c r="W228" s="164">
        <v>4903080955.1944304</v>
      </c>
      <c r="X228" s="164">
        <v>3221054074.5435529</v>
      </c>
      <c r="Y228" s="164">
        <v>1731931493.8589969</v>
      </c>
      <c r="Z228" s="164">
        <v>5510468848.0107536</v>
      </c>
      <c r="AA228" s="164">
        <v>4698145233.004426</v>
      </c>
      <c r="AB228" s="164">
        <v>1469323769.0850794</v>
      </c>
      <c r="AC228" s="164">
        <v>944806226.20384514</v>
      </c>
      <c r="AD228" s="164">
        <v>4303073214.0509329</v>
      </c>
      <c r="AE228" s="164">
        <v>1423769053.5574617</v>
      </c>
      <c r="AF228" s="219"/>
      <c r="AG228" s="219"/>
      <c r="AH228" s="219"/>
      <c r="AI228" s="219"/>
    </row>
  </sheetData>
  <dataValidations count="1">
    <dataValidation type="list" allowBlank="1" showInputMessage="1" showErrorMessage="1" sqref="I15:I26">
      <formula1>$A$15:$A$20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1:AJ141"/>
  <sheetViews>
    <sheetView showGridLines="0" zoomScaleNormal="100" workbookViewId="0"/>
  </sheetViews>
  <sheetFormatPr defaultRowHeight="15" x14ac:dyDescent="0.2"/>
  <cols>
    <col min="1" max="1" width="17.88671875" customWidth="1"/>
    <col min="3" max="3" width="12.21875" style="33" customWidth="1"/>
    <col min="4" max="4" width="20.88671875" style="33" customWidth="1"/>
    <col min="6" max="6" width="11.88671875" bestFit="1" customWidth="1"/>
    <col min="7" max="7" width="14.44140625" customWidth="1"/>
    <col min="8" max="32" width="13.6640625" customWidth="1"/>
    <col min="33" max="36" width="13.6640625" hidden="1" customWidth="1"/>
  </cols>
  <sheetData>
    <row r="1" spans="1:36" ht="18" x14ac:dyDescent="0.25">
      <c r="A1" s="3" t="str">
        <f ca="1">MID(CELL("filename",A2),FIND("]",CELL("filename",A2))+1,256)</f>
        <v>Calculation</v>
      </c>
    </row>
    <row r="2" spans="1:36" ht="15.75" x14ac:dyDescent="0.25">
      <c r="A2" s="4" t="s">
        <v>49</v>
      </c>
      <c r="F2" s="35"/>
    </row>
    <row r="3" spans="1:36" ht="15.75" x14ac:dyDescent="0.25">
      <c r="F3" s="36"/>
    </row>
    <row r="4" spans="1:36" ht="21" x14ac:dyDescent="0.35">
      <c r="B4" s="6" t="s">
        <v>53</v>
      </c>
      <c r="C4" s="34"/>
      <c r="D4" s="34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</row>
    <row r="5" spans="1:36" x14ac:dyDescent="0.2">
      <c r="F5" s="170"/>
    </row>
    <row r="6" spans="1:36" ht="15.75" x14ac:dyDescent="0.25">
      <c r="B6" s="5" t="s">
        <v>36</v>
      </c>
      <c r="C6" s="30"/>
      <c r="D6" s="30"/>
      <c r="E6" s="12"/>
      <c r="F6" s="1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5.75" x14ac:dyDescent="0.25">
      <c r="B7" s="7" t="s">
        <v>14</v>
      </c>
      <c r="C7" s="11" t="s">
        <v>13</v>
      </c>
      <c r="D7" s="11"/>
      <c r="E7" s="8" t="s">
        <v>22</v>
      </c>
      <c r="F7" s="8" t="s">
        <v>38</v>
      </c>
      <c r="G7" s="14">
        <f>IF(FirstYear+AnalysisPeriod-1&gt;='I2 CBA Inputs'!F29,'I2 CBA Inputs'!F29,"")</f>
        <v>2020</v>
      </c>
      <c r="H7" s="14">
        <f>IF(FirstYear+AnalysisPeriod-1&gt;='I2 CBA Inputs'!G29,'I2 CBA Inputs'!G29,0)</f>
        <v>2021</v>
      </c>
      <c r="I7" s="14">
        <f>IF(FirstYear+AnalysisPeriod-1&gt;='I2 CBA Inputs'!H29,'I2 CBA Inputs'!H29,0)</f>
        <v>2022</v>
      </c>
      <c r="J7" s="14">
        <f>IF(FirstYear+AnalysisPeriod-1&gt;='I2 CBA Inputs'!I29,'I2 CBA Inputs'!I29,0)</f>
        <v>2023</v>
      </c>
      <c r="K7" s="14">
        <f>IF(FirstYear+AnalysisPeriod-1&gt;='I2 CBA Inputs'!J29,'I2 CBA Inputs'!J29,0)</f>
        <v>2024</v>
      </c>
      <c r="L7" s="14">
        <f>IF(FirstYear+AnalysisPeriod-1&gt;='I2 CBA Inputs'!K29,'I2 CBA Inputs'!K29,0)</f>
        <v>2025</v>
      </c>
      <c r="M7" s="14">
        <f>IF(FirstYear+AnalysisPeriod-1&gt;='I2 CBA Inputs'!L29,'I2 CBA Inputs'!L29,0)</f>
        <v>2026</v>
      </c>
      <c r="N7" s="14">
        <f>IF(FirstYear+AnalysisPeriod-1&gt;='I2 CBA Inputs'!M29,'I2 CBA Inputs'!M29,0)</f>
        <v>2027</v>
      </c>
      <c r="O7" s="14">
        <f>IF(FirstYear+AnalysisPeriod-1&gt;='I2 CBA Inputs'!N29,'I2 CBA Inputs'!N29,0)</f>
        <v>2028</v>
      </c>
      <c r="P7" s="14">
        <f>IF(FirstYear+AnalysisPeriod-1&gt;='I2 CBA Inputs'!O29,'I2 CBA Inputs'!O29,0)</f>
        <v>2029</v>
      </c>
      <c r="Q7" s="14">
        <f>IF(FirstYear+AnalysisPeriod-1&gt;='I2 CBA Inputs'!P29,'I2 CBA Inputs'!P29,0)</f>
        <v>2030</v>
      </c>
      <c r="R7" s="14">
        <f>IF(FirstYear+AnalysisPeriod-1&gt;='I2 CBA Inputs'!Q29,'I2 CBA Inputs'!Q29,0)</f>
        <v>2031</v>
      </c>
      <c r="S7" s="14">
        <f>IF(FirstYear+AnalysisPeriod-1&gt;='I2 CBA Inputs'!R29,'I2 CBA Inputs'!R29,0)</f>
        <v>2032</v>
      </c>
      <c r="T7" s="14">
        <f>IF(FirstYear+AnalysisPeriod-1&gt;='I2 CBA Inputs'!S29,'I2 CBA Inputs'!S29,0)</f>
        <v>2033</v>
      </c>
      <c r="U7" s="14">
        <f>IF(FirstYear+AnalysisPeriod-1&gt;='I2 CBA Inputs'!T29,'I2 CBA Inputs'!T29,0)</f>
        <v>2034</v>
      </c>
      <c r="V7" s="14">
        <f>IF(FirstYear+AnalysisPeriod-1&gt;='I2 CBA Inputs'!U29,'I2 CBA Inputs'!U29,0)</f>
        <v>2035</v>
      </c>
      <c r="W7" s="14">
        <f>IF(FirstYear+AnalysisPeriod-1&gt;='I2 CBA Inputs'!V29,'I2 CBA Inputs'!V29,0)</f>
        <v>2036</v>
      </c>
      <c r="X7" s="14">
        <f>IF(FirstYear+AnalysisPeriod-1&gt;='I2 CBA Inputs'!W29,'I2 CBA Inputs'!W29,0)</f>
        <v>2037</v>
      </c>
      <c r="Y7" s="14">
        <f>IF(FirstYear+AnalysisPeriod-1&gt;='I2 CBA Inputs'!X29,'I2 CBA Inputs'!X29,0)</f>
        <v>2038</v>
      </c>
      <c r="Z7" s="14">
        <f>IF(FirstYear+AnalysisPeriod-1&gt;='I2 CBA Inputs'!Y29,'I2 CBA Inputs'!Y29,0)</f>
        <v>2039</v>
      </c>
      <c r="AA7" s="14">
        <f>IF(FirstYear+AnalysisPeriod-1&gt;='I2 CBA Inputs'!Z29,'I2 CBA Inputs'!Z29,0)</f>
        <v>2040</v>
      </c>
      <c r="AB7" s="14">
        <f>IF(FirstYear+AnalysisPeriod-1&gt;='I2 CBA Inputs'!AA29,'I2 CBA Inputs'!AA29,0)</f>
        <v>2041</v>
      </c>
      <c r="AC7" s="14">
        <f>IF(FirstYear+AnalysisPeriod-1&gt;='I2 CBA Inputs'!AB29,'I2 CBA Inputs'!AB29,0)</f>
        <v>2042</v>
      </c>
      <c r="AD7" s="14">
        <f>IF(FirstYear+AnalysisPeriod-1&gt;='I2 CBA Inputs'!AC29,'I2 CBA Inputs'!AC29,0)</f>
        <v>2043</v>
      </c>
      <c r="AE7" s="14">
        <f>IF(FirstYear+AnalysisPeriod-1&gt;='I2 CBA Inputs'!AD29,'I2 CBA Inputs'!AD29,0)</f>
        <v>2044</v>
      </c>
      <c r="AF7" s="14">
        <f>IF(FirstYear+AnalysisPeriod-1&gt;='I2 CBA Inputs'!AE29,'I2 CBA Inputs'!AE29,0)</f>
        <v>2045</v>
      </c>
      <c r="AG7" s="14">
        <f>IF(FirstYear+AnalysisPeriod-1&gt;='I2 CBA Inputs'!AF29,'I2 CBA Inputs'!AF29,0)</f>
        <v>0</v>
      </c>
      <c r="AH7" s="14">
        <f>IF(FirstYear+AnalysisPeriod-1&gt;='I2 CBA Inputs'!AG29,'I2 CBA Inputs'!AG29,0)</f>
        <v>0</v>
      </c>
      <c r="AI7" s="14">
        <f>IF(FirstYear+AnalysisPeriod-1&gt;='I2 CBA Inputs'!AH29,'I2 CBA Inputs'!AH29,0)</f>
        <v>0</v>
      </c>
      <c r="AJ7" s="14">
        <f>IF(FirstYear+AnalysisPeriod-1&gt;='I2 CBA Inputs'!AI29,'I2 CBA Inputs'!AI29,0)</f>
        <v>0</v>
      </c>
    </row>
    <row r="8" spans="1:36" x14ac:dyDescent="0.2">
      <c r="B8" s="9">
        <f>+'I1 General Inputs'!$B$15</f>
        <v>1</v>
      </c>
      <c r="C8" s="15" t="str">
        <f>+'I1 General Inputs'!$C$15</f>
        <v>Option 1A</v>
      </c>
      <c r="D8" s="28"/>
      <c r="E8" s="13" t="s">
        <v>35</v>
      </c>
      <c r="F8" s="25">
        <f t="shared" ref="F8:F13" si="0">NPV(DiscountRate,G8:AJ8)/(1+DiscountRate)^(FirstYear-BaseYear-2)</f>
        <v>217876111.24950811</v>
      </c>
      <c r="G8" s="23">
        <f t="shared" ref="G8:P13" si="1">SUMIF($C$65:$C$128,$C8,G$65:G$128)</f>
        <v>0</v>
      </c>
      <c r="H8" s="23">
        <f t="shared" si="1"/>
        <v>284.10003799582125</v>
      </c>
      <c r="I8" s="23">
        <f t="shared" si="1"/>
        <v>-175052968.54657936</v>
      </c>
      <c r="J8" s="23">
        <f t="shared" si="1"/>
        <v>172873211.58772877</v>
      </c>
      <c r="K8" s="23">
        <f t="shared" si="1"/>
        <v>-3300721.6513160877</v>
      </c>
      <c r="L8" s="23">
        <f t="shared" si="1"/>
        <v>9865581.6045967229</v>
      </c>
      <c r="M8" s="23">
        <f t="shared" si="1"/>
        <v>10172590.145504778</v>
      </c>
      <c r="N8" s="23">
        <f t="shared" si="1"/>
        <v>10308579.444549374</v>
      </c>
      <c r="O8" s="23">
        <f t="shared" si="1"/>
        <v>12121949.12193374</v>
      </c>
      <c r="P8" s="23">
        <f t="shared" si="1"/>
        <v>245582231.62690398</v>
      </c>
      <c r="Q8" s="23">
        <f t="shared" ref="Q8:Z13" si="2">SUMIF($C$65:$C$128,$C8,Q$65:Q$128)</f>
        <v>54115210.132775657</v>
      </c>
      <c r="R8" s="23">
        <f t="shared" si="2"/>
        <v>-14968485.981303919</v>
      </c>
      <c r="S8" s="23">
        <f t="shared" si="2"/>
        <v>48718215.269280978</v>
      </c>
      <c r="T8" s="23">
        <f t="shared" si="2"/>
        <v>-245470577.8097842</v>
      </c>
      <c r="U8" s="23">
        <f t="shared" si="2"/>
        <v>132200852.35365444</v>
      </c>
      <c r="V8" s="23">
        <f t="shared" si="2"/>
        <v>183195114.13757324</v>
      </c>
      <c r="W8" s="23">
        <f t="shared" si="2"/>
        <v>85966403.830205038</v>
      </c>
      <c r="X8" s="23">
        <f t="shared" si="2"/>
        <v>-298236511.36026037</v>
      </c>
      <c r="Y8" s="23">
        <f t="shared" si="2"/>
        <v>1993194.4744353257</v>
      </c>
      <c r="Z8" s="23">
        <f t="shared" si="2"/>
        <v>1292172.7909887005</v>
      </c>
      <c r="AA8" s="23">
        <f t="shared" ref="AA8:AJ13" si="3">SUMIF($C$65:$C$128,$C8,AA$65:AA$128)</f>
        <v>113599926.39706923</v>
      </c>
      <c r="AB8" s="23">
        <f t="shared" si="3"/>
        <v>-75248830.245429903</v>
      </c>
      <c r="AC8" s="23">
        <f t="shared" si="3"/>
        <v>80733369.785488799</v>
      </c>
      <c r="AD8" s="23">
        <f t="shared" si="3"/>
        <v>28709416.681237049</v>
      </c>
      <c r="AE8" s="23">
        <f t="shared" si="3"/>
        <v>-32661090.41915565</v>
      </c>
      <c r="AF8" s="23">
        <f t="shared" si="3"/>
        <v>122293150.25035888</v>
      </c>
      <c r="AG8" s="23">
        <f t="shared" si="3"/>
        <v>0</v>
      </c>
      <c r="AH8" s="23">
        <f t="shared" si="3"/>
        <v>0</v>
      </c>
      <c r="AI8" s="23">
        <f t="shared" si="3"/>
        <v>0</v>
      </c>
      <c r="AJ8" s="23">
        <f t="shared" si="3"/>
        <v>0</v>
      </c>
    </row>
    <row r="9" spans="1:36" x14ac:dyDescent="0.2">
      <c r="B9" s="9">
        <f>+'I1 General Inputs'!$B$16</f>
        <v>2</v>
      </c>
      <c r="C9" s="15" t="str">
        <f>+'I1 General Inputs'!$C$16</f>
        <v>Option 1B</v>
      </c>
      <c r="D9" s="28"/>
      <c r="E9" s="13" t="s">
        <v>35</v>
      </c>
      <c r="F9" s="25">
        <f t="shared" si="0"/>
        <v>149459233.8321102</v>
      </c>
      <c r="G9" s="23">
        <f t="shared" si="1"/>
        <v>0</v>
      </c>
      <c r="H9" s="23">
        <f t="shared" si="1"/>
        <v>-558.0385087790429</v>
      </c>
      <c r="I9" s="23">
        <f t="shared" si="1"/>
        <v>-33458343.502618574</v>
      </c>
      <c r="J9" s="23">
        <f t="shared" si="1"/>
        <v>5472264.4472532477</v>
      </c>
      <c r="K9" s="23">
        <f t="shared" si="1"/>
        <v>3118734.1090996116</v>
      </c>
      <c r="L9" s="23">
        <f t="shared" si="1"/>
        <v>6878075.8837298406</v>
      </c>
      <c r="M9" s="23">
        <f t="shared" si="1"/>
        <v>11988884.948043592</v>
      </c>
      <c r="N9" s="23">
        <f t="shared" si="1"/>
        <v>12508089.57234708</v>
      </c>
      <c r="O9" s="23">
        <f t="shared" si="1"/>
        <v>11806401.758806899</v>
      </c>
      <c r="P9" s="23">
        <f t="shared" si="1"/>
        <v>157533096.68094897</v>
      </c>
      <c r="Q9" s="23">
        <f t="shared" si="2"/>
        <v>714293.56448111264</v>
      </c>
      <c r="R9" s="23">
        <f t="shared" si="2"/>
        <v>-4076826.3862021789</v>
      </c>
      <c r="S9" s="23">
        <f t="shared" si="2"/>
        <v>-29947286.587636955</v>
      </c>
      <c r="T9" s="23">
        <f t="shared" si="2"/>
        <v>-198921581.31437007</v>
      </c>
      <c r="U9" s="23">
        <f t="shared" si="2"/>
        <v>225994065.70831341</v>
      </c>
      <c r="V9" s="23">
        <f t="shared" si="2"/>
        <v>4811765.3812522814</v>
      </c>
      <c r="W9" s="23">
        <f t="shared" si="2"/>
        <v>177059574.26523271</v>
      </c>
      <c r="X9" s="23">
        <f t="shared" si="2"/>
        <v>-111539093.82332127</v>
      </c>
      <c r="Y9" s="23">
        <f t="shared" si="2"/>
        <v>-5002396.6030853055</v>
      </c>
      <c r="Z9" s="23">
        <f t="shared" si="2"/>
        <v>18620638.412636138</v>
      </c>
      <c r="AA9" s="23">
        <f t="shared" si="3"/>
        <v>-1496285.0064451024</v>
      </c>
      <c r="AB9" s="23">
        <f t="shared" si="3"/>
        <v>25321410.688669667</v>
      </c>
      <c r="AC9" s="23">
        <f t="shared" si="3"/>
        <v>18266834.942292783</v>
      </c>
      <c r="AD9" s="23">
        <f t="shared" si="3"/>
        <v>4165813.4539841861</v>
      </c>
      <c r="AE9" s="23">
        <f t="shared" si="3"/>
        <v>-17161909.88186194</v>
      </c>
      <c r="AF9" s="23">
        <f t="shared" si="3"/>
        <v>60148426.108370982</v>
      </c>
      <c r="AG9" s="23">
        <f t="shared" si="3"/>
        <v>0</v>
      </c>
      <c r="AH9" s="23">
        <f t="shared" si="3"/>
        <v>0</v>
      </c>
      <c r="AI9" s="23">
        <f t="shared" si="3"/>
        <v>0</v>
      </c>
      <c r="AJ9" s="23">
        <f t="shared" si="3"/>
        <v>0</v>
      </c>
    </row>
    <row r="10" spans="1:36" x14ac:dyDescent="0.2">
      <c r="B10" s="9">
        <f>+'I1 General Inputs'!$B$17</f>
        <v>3</v>
      </c>
      <c r="C10" s="15" t="str">
        <f>+'I1 General Inputs'!$C$17</f>
        <v>Option 1C</v>
      </c>
      <c r="D10" s="28"/>
      <c r="E10" s="13" t="s">
        <v>35</v>
      </c>
      <c r="F10" s="25">
        <f t="shared" si="0"/>
        <v>14771397.611105647</v>
      </c>
      <c r="G10" s="23">
        <f t="shared" si="1"/>
        <v>0</v>
      </c>
      <c r="H10" s="23">
        <f t="shared" si="1"/>
        <v>244.30700182613256</v>
      </c>
      <c r="I10" s="23">
        <f t="shared" si="1"/>
        <v>-141581350.94014665</v>
      </c>
      <c r="J10" s="23">
        <f t="shared" si="1"/>
        <v>78390545.811667725</v>
      </c>
      <c r="K10" s="23">
        <f t="shared" si="1"/>
        <v>31768156.828069184</v>
      </c>
      <c r="L10" s="23">
        <f t="shared" si="1"/>
        <v>10803719.567750376</v>
      </c>
      <c r="M10" s="23">
        <f t="shared" si="1"/>
        <v>-852871.50786525547</v>
      </c>
      <c r="N10" s="23">
        <f t="shared" si="1"/>
        <v>-1552376.6525911097</v>
      </c>
      <c r="O10" s="23">
        <f t="shared" si="1"/>
        <v>219339.23743767827</v>
      </c>
      <c r="P10" s="23">
        <f t="shared" si="1"/>
        <v>68454519.472154751</v>
      </c>
      <c r="Q10" s="23">
        <f t="shared" si="2"/>
        <v>-44141779.484910205</v>
      </c>
      <c r="R10" s="23">
        <f t="shared" si="2"/>
        <v>-785294.87287708314</v>
      </c>
      <c r="S10" s="23">
        <f t="shared" si="2"/>
        <v>154094659.37849385</v>
      </c>
      <c r="T10" s="23">
        <f t="shared" si="2"/>
        <v>-66268929.299538806</v>
      </c>
      <c r="U10" s="23">
        <f t="shared" si="2"/>
        <v>-56995174.824375249</v>
      </c>
      <c r="V10" s="23">
        <f t="shared" si="2"/>
        <v>182626487.55488604</v>
      </c>
      <c r="W10" s="23">
        <f t="shared" si="2"/>
        <v>-71392555.852929205</v>
      </c>
      <c r="X10" s="23">
        <f t="shared" si="2"/>
        <v>-205211618.26788369</v>
      </c>
      <c r="Y10" s="23">
        <f t="shared" si="2"/>
        <v>-14198297.097685564</v>
      </c>
      <c r="Z10" s="23">
        <f t="shared" si="2"/>
        <v>-3693161.0285240384</v>
      </c>
      <c r="AA10" s="23">
        <f t="shared" si="3"/>
        <v>167754014.84708691</v>
      </c>
      <c r="AB10" s="23">
        <f t="shared" si="3"/>
        <v>-110035611.21719874</v>
      </c>
      <c r="AC10" s="23">
        <f t="shared" si="3"/>
        <v>26018429.673407298</v>
      </c>
      <c r="AD10" s="23">
        <f t="shared" si="3"/>
        <v>12341586.94081242</v>
      </c>
      <c r="AE10" s="23">
        <f t="shared" si="3"/>
        <v>-17828964.087385628</v>
      </c>
      <c r="AF10" s="23">
        <f t="shared" si="3"/>
        <v>65621761.646526873</v>
      </c>
      <c r="AG10" s="23">
        <f t="shared" si="3"/>
        <v>0</v>
      </c>
      <c r="AH10" s="23">
        <f t="shared" si="3"/>
        <v>0</v>
      </c>
      <c r="AI10" s="23">
        <f t="shared" si="3"/>
        <v>0</v>
      </c>
      <c r="AJ10" s="23">
        <f t="shared" si="3"/>
        <v>0</v>
      </c>
    </row>
    <row r="11" spans="1:36" x14ac:dyDescent="0.2">
      <c r="B11" s="9">
        <f>+'I1 General Inputs'!$B$18</f>
        <v>4</v>
      </c>
      <c r="C11" s="15" t="str">
        <f>+'I1 General Inputs'!$C$18</f>
        <v>Option 1D</v>
      </c>
      <c r="D11" s="28"/>
      <c r="E11" s="13" t="s">
        <v>35</v>
      </c>
      <c r="F11" s="25">
        <f t="shared" si="0"/>
        <v>54257097.620131977</v>
      </c>
      <c r="G11" s="23">
        <f t="shared" si="1"/>
        <v>0</v>
      </c>
      <c r="H11" s="23">
        <f t="shared" si="1"/>
        <v>302.76730728110522</v>
      </c>
      <c r="I11" s="23">
        <f t="shared" si="1"/>
        <v>-44984297.413245231</v>
      </c>
      <c r="J11" s="23">
        <f t="shared" si="1"/>
        <v>73717118.711482465</v>
      </c>
      <c r="K11" s="23">
        <f t="shared" si="1"/>
        <v>32145094.804742891</v>
      </c>
      <c r="L11" s="23">
        <f t="shared" si="1"/>
        <v>7295207.9430023432</v>
      </c>
      <c r="M11" s="23">
        <f t="shared" si="1"/>
        <v>-522142.73408948304</v>
      </c>
      <c r="N11" s="23">
        <f t="shared" si="1"/>
        <v>-1293785.3651125217</v>
      </c>
      <c r="O11" s="23">
        <f t="shared" si="1"/>
        <v>-2474939.4244651152</v>
      </c>
      <c r="P11" s="23">
        <f t="shared" si="1"/>
        <v>49734790.957481071</v>
      </c>
      <c r="Q11" s="23">
        <f t="shared" si="2"/>
        <v>-67680956.234718561</v>
      </c>
      <c r="R11" s="23">
        <f t="shared" si="2"/>
        <v>1005441.7475580093</v>
      </c>
      <c r="S11" s="23">
        <f t="shared" si="2"/>
        <v>97928151.496627688</v>
      </c>
      <c r="T11" s="23">
        <f t="shared" si="2"/>
        <v>-15599520.463312004</v>
      </c>
      <c r="U11" s="23">
        <f t="shared" si="2"/>
        <v>-16189976.58611998</v>
      </c>
      <c r="V11" s="23">
        <f t="shared" si="2"/>
        <v>10102736.414469898</v>
      </c>
      <c r="W11" s="23">
        <f t="shared" si="2"/>
        <v>22217882.072780572</v>
      </c>
      <c r="X11" s="23">
        <f t="shared" si="2"/>
        <v>-115563305.00741349</v>
      </c>
      <c r="Y11" s="23">
        <f t="shared" si="2"/>
        <v>-2485533.5566243241</v>
      </c>
      <c r="Z11" s="23">
        <f t="shared" si="2"/>
        <v>-2863144.6714176843</v>
      </c>
      <c r="AA11" s="23">
        <f t="shared" si="3"/>
        <v>48719293.084532507</v>
      </c>
      <c r="AB11" s="23">
        <f t="shared" si="3"/>
        <v>-46765344.391266689</v>
      </c>
      <c r="AC11" s="23">
        <f t="shared" si="3"/>
        <v>9421200.7525857035</v>
      </c>
      <c r="AD11" s="23">
        <f t="shared" si="3"/>
        <v>-2336234.8005385771</v>
      </c>
      <c r="AE11" s="23">
        <f t="shared" si="3"/>
        <v>2747613.1286962032</v>
      </c>
      <c r="AF11" s="23">
        <f t="shared" si="3"/>
        <v>23251014.815524764</v>
      </c>
      <c r="AG11" s="23">
        <f t="shared" si="3"/>
        <v>0</v>
      </c>
      <c r="AH11" s="23">
        <f t="shared" si="3"/>
        <v>0</v>
      </c>
      <c r="AI11" s="23">
        <f t="shared" si="3"/>
        <v>0</v>
      </c>
      <c r="AJ11" s="23">
        <f t="shared" si="3"/>
        <v>0</v>
      </c>
    </row>
    <row r="12" spans="1:36" x14ac:dyDescent="0.2">
      <c r="B12" s="9">
        <f>+'I1 General Inputs'!$B$19</f>
        <v>5</v>
      </c>
      <c r="C12" s="15" t="str">
        <f>+'I1 General Inputs'!$C$19</f>
        <v>Option 5A</v>
      </c>
      <c r="D12" s="28"/>
      <c r="E12" s="13" t="s">
        <v>35</v>
      </c>
      <c r="F12" s="25">
        <f t="shared" si="0"/>
        <v>-88675982.718727261</v>
      </c>
      <c r="G12" s="23">
        <f t="shared" si="1"/>
        <v>0</v>
      </c>
      <c r="H12" s="23">
        <f t="shared" si="1"/>
        <v>0</v>
      </c>
      <c r="I12" s="23">
        <f t="shared" si="1"/>
        <v>-86000000</v>
      </c>
      <c r="J12" s="23">
        <f t="shared" si="1"/>
        <v>-860000</v>
      </c>
      <c r="K12" s="23">
        <f t="shared" si="1"/>
        <v>-860000</v>
      </c>
      <c r="L12" s="23">
        <f t="shared" si="1"/>
        <v>-860000</v>
      </c>
      <c r="M12" s="23">
        <f t="shared" si="1"/>
        <v>-860000</v>
      </c>
      <c r="N12" s="23">
        <f t="shared" si="1"/>
        <v>-860000</v>
      </c>
      <c r="O12" s="23">
        <f t="shared" si="1"/>
        <v>-860000</v>
      </c>
      <c r="P12" s="23">
        <f t="shared" si="1"/>
        <v>-860000</v>
      </c>
      <c r="Q12" s="23">
        <f t="shared" si="2"/>
        <v>-860000</v>
      </c>
      <c r="R12" s="23">
        <f t="shared" si="2"/>
        <v>-860000</v>
      </c>
      <c r="S12" s="23">
        <f t="shared" si="2"/>
        <v>-860000</v>
      </c>
      <c r="T12" s="23">
        <f t="shared" si="2"/>
        <v>-860000</v>
      </c>
      <c r="U12" s="23">
        <f t="shared" si="2"/>
        <v>-860000</v>
      </c>
      <c r="V12" s="23">
        <f t="shared" si="2"/>
        <v>-860000</v>
      </c>
      <c r="W12" s="23">
        <f t="shared" si="2"/>
        <v>-860000</v>
      </c>
      <c r="X12" s="23">
        <f t="shared" si="2"/>
        <v>-24460000</v>
      </c>
      <c r="Y12" s="23">
        <f t="shared" si="2"/>
        <v>-506000</v>
      </c>
      <c r="Z12" s="23">
        <f t="shared" si="2"/>
        <v>-506000</v>
      </c>
      <c r="AA12" s="23">
        <f t="shared" si="3"/>
        <v>-506000</v>
      </c>
      <c r="AB12" s="23">
        <f t="shared" si="3"/>
        <v>-506000</v>
      </c>
      <c r="AC12" s="23">
        <f t="shared" si="3"/>
        <v>-506000</v>
      </c>
      <c r="AD12" s="23">
        <f t="shared" si="3"/>
        <v>-506000</v>
      </c>
      <c r="AE12" s="23">
        <f t="shared" si="3"/>
        <v>-506000</v>
      </c>
      <c r="AF12" s="23">
        <f t="shared" si="3"/>
        <v>22974000</v>
      </c>
      <c r="AG12" s="23">
        <f t="shared" si="3"/>
        <v>0</v>
      </c>
      <c r="AH12" s="23">
        <f t="shared" si="3"/>
        <v>0</v>
      </c>
      <c r="AI12" s="23">
        <f t="shared" si="3"/>
        <v>0</v>
      </c>
      <c r="AJ12" s="23">
        <f t="shared" si="3"/>
        <v>0</v>
      </c>
    </row>
    <row r="13" spans="1:36" x14ac:dyDescent="0.2">
      <c r="B13" s="9">
        <f>+'I1 General Inputs'!$B$20</f>
        <v>6</v>
      </c>
      <c r="C13" s="15" t="str">
        <f>+'I1 General Inputs'!$C$20</f>
        <v>Option 5B</v>
      </c>
      <c r="D13" s="28"/>
      <c r="E13" s="13" t="s">
        <v>35</v>
      </c>
      <c r="F13" s="25">
        <f t="shared" si="0"/>
        <v>133128527.5081757</v>
      </c>
      <c r="G13" s="23">
        <f t="shared" si="1"/>
        <v>0</v>
      </c>
      <c r="H13" s="23">
        <f t="shared" si="1"/>
        <v>150.54284346198054</v>
      </c>
      <c r="I13" s="23">
        <f t="shared" si="1"/>
        <v>-340914519.17423463</v>
      </c>
      <c r="J13" s="23">
        <f t="shared" si="1"/>
        <v>176864245.09531435</v>
      </c>
      <c r="K13" s="23">
        <f t="shared" si="1"/>
        <v>31583085.802223891</v>
      </c>
      <c r="L13" s="23">
        <f t="shared" si="1"/>
        <v>7088195.6162890149</v>
      </c>
      <c r="M13" s="23">
        <f t="shared" si="1"/>
        <v>14066148.002877489</v>
      </c>
      <c r="N13" s="23">
        <f t="shared" si="1"/>
        <v>10585532.221539382</v>
      </c>
      <c r="O13" s="23">
        <f t="shared" si="1"/>
        <v>56401684.09435866</v>
      </c>
      <c r="P13" s="23">
        <f t="shared" si="1"/>
        <v>448622249.70186836</v>
      </c>
      <c r="Q13" s="23">
        <f t="shared" si="2"/>
        <v>143574760.67290816</v>
      </c>
      <c r="R13" s="23">
        <f t="shared" si="2"/>
        <v>-69236601.075019896</v>
      </c>
      <c r="S13" s="23">
        <f t="shared" si="2"/>
        <v>-35271031.835874043</v>
      </c>
      <c r="T13" s="23">
        <f t="shared" si="2"/>
        <v>-163425540.02729768</v>
      </c>
      <c r="U13" s="23">
        <f t="shared" si="2"/>
        <v>44858779.75892657</v>
      </c>
      <c r="V13" s="23">
        <f t="shared" si="2"/>
        <v>139182792.08704069</v>
      </c>
      <c r="W13" s="23">
        <f t="shared" si="2"/>
        <v>79216437.067460984</v>
      </c>
      <c r="X13" s="23">
        <f t="shared" si="2"/>
        <v>-499647156.20814687</v>
      </c>
      <c r="Y13" s="23">
        <f t="shared" si="2"/>
        <v>3972673.9913250804</v>
      </c>
      <c r="Z13" s="23">
        <f t="shared" si="2"/>
        <v>56730973.505581588</v>
      </c>
      <c r="AA13" s="23">
        <f t="shared" si="3"/>
        <v>53250473.550865486</v>
      </c>
      <c r="AB13" s="23">
        <f t="shared" si="3"/>
        <v>-78026507.072671652</v>
      </c>
      <c r="AC13" s="23">
        <f t="shared" si="3"/>
        <v>89126595.014092416</v>
      </c>
      <c r="AD13" s="23">
        <f t="shared" si="3"/>
        <v>3592009.6998123154</v>
      </c>
      <c r="AE13" s="23">
        <f t="shared" si="3"/>
        <v>-19000201.580181923</v>
      </c>
      <c r="AF13" s="23">
        <f t="shared" si="3"/>
        <v>129601966.39263241</v>
      </c>
      <c r="AG13" s="23">
        <f t="shared" si="3"/>
        <v>0</v>
      </c>
      <c r="AH13" s="23">
        <f t="shared" si="3"/>
        <v>0</v>
      </c>
      <c r="AI13" s="23">
        <f t="shared" si="3"/>
        <v>0</v>
      </c>
      <c r="AJ13" s="23">
        <f t="shared" si="3"/>
        <v>0</v>
      </c>
    </row>
    <row r="14" spans="1:36" x14ac:dyDescent="0.2">
      <c r="F14" s="170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</row>
    <row r="15" spans="1:36" ht="15.75" x14ac:dyDescent="0.25">
      <c r="B15" s="5" t="s">
        <v>90</v>
      </c>
      <c r="C15" s="30"/>
      <c r="D15" s="30"/>
      <c r="E15" s="12"/>
      <c r="F15" s="12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</row>
    <row r="16" spans="1:36" ht="15.75" x14ac:dyDescent="0.25">
      <c r="B16" s="7" t="s">
        <v>14</v>
      </c>
      <c r="C16" s="11" t="s">
        <v>13</v>
      </c>
      <c r="D16" s="11"/>
      <c r="E16" s="8" t="s">
        <v>22</v>
      </c>
      <c r="F16" s="8" t="s">
        <v>37</v>
      </c>
      <c r="G16" s="14">
        <f t="shared" ref="G16:AJ16" si="4">+G7</f>
        <v>2020</v>
      </c>
      <c r="H16" s="14">
        <f t="shared" si="4"/>
        <v>2021</v>
      </c>
      <c r="I16" s="14">
        <f t="shared" si="4"/>
        <v>2022</v>
      </c>
      <c r="J16" s="14">
        <f t="shared" si="4"/>
        <v>2023</v>
      </c>
      <c r="K16" s="14">
        <f t="shared" si="4"/>
        <v>2024</v>
      </c>
      <c r="L16" s="14">
        <f t="shared" si="4"/>
        <v>2025</v>
      </c>
      <c r="M16" s="14">
        <f t="shared" si="4"/>
        <v>2026</v>
      </c>
      <c r="N16" s="14">
        <f t="shared" si="4"/>
        <v>2027</v>
      </c>
      <c r="O16" s="14">
        <f t="shared" si="4"/>
        <v>2028</v>
      </c>
      <c r="P16" s="14">
        <f t="shared" si="4"/>
        <v>2029</v>
      </c>
      <c r="Q16" s="14">
        <f t="shared" si="4"/>
        <v>2030</v>
      </c>
      <c r="R16" s="14">
        <f t="shared" si="4"/>
        <v>2031</v>
      </c>
      <c r="S16" s="14">
        <f t="shared" si="4"/>
        <v>2032</v>
      </c>
      <c r="T16" s="14">
        <f t="shared" si="4"/>
        <v>2033</v>
      </c>
      <c r="U16" s="14">
        <f t="shared" si="4"/>
        <v>2034</v>
      </c>
      <c r="V16" s="14">
        <f t="shared" si="4"/>
        <v>2035</v>
      </c>
      <c r="W16" s="14">
        <f t="shared" si="4"/>
        <v>2036</v>
      </c>
      <c r="X16" s="14">
        <f t="shared" si="4"/>
        <v>2037</v>
      </c>
      <c r="Y16" s="14">
        <f t="shared" si="4"/>
        <v>2038</v>
      </c>
      <c r="Z16" s="14">
        <f t="shared" si="4"/>
        <v>2039</v>
      </c>
      <c r="AA16" s="14">
        <f t="shared" si="4"/>
        <v>2040</v>
      </c>
      <c r="AB16" s="14">
        <f t="shared" si="4"/>
        <v>2041</v>
      </c>
      <c r="AC16" s="14">
        <f t="shared" si="4"/>
        <v>2042</v>
      </c>
      <c r="AD16" s="14">
        <f t="shared" si="4"/>
        <v>2043</v>
      </c>
      <c r="AE16" s="14">
        <f t="shared" si="4"/>
        <v>2044</v>
      </c>
      <c r="AF16" s="14">
        <f t="shared" si="4"/>
        <v>2045</v>
      </c>
      <c r="AG16" s="14">
        <f t="shared" si="4"/>
        <v>0</v>
      </c>
      <c r="AH16" s="14">
        <f t="shared" si="4"/>
        <v>0</v>
      </c>
      <c r="AI16" s="14">
        <f t="shared" si="4"/>
        <v>0</v>
      </c>
      <c r="AJ16" s="14">
        <f t="shared" si="4"/>
        <v>0</v>
      </c>
    </row>
    <row r="17" spans="2:36" x14ac:dyDescent="0.2">
      <c r="B17" s="9">
        <f>+'I1 General Inputs'!$B$15</f>
        <v>1</v>
      </c>
      <c r="C17" s="15" t="str">
        <f>+'I1 General Inputs'!$C$15</f>
        <v>Option 1A</v>
      </c>
      <c r="D17" s="179"/>
      <c r="E17" s="13" t="s">
        <v>35</v>
      </c>
      <c r="F17" s="25">
        <f t="shared" ref="F17:F22" si="5">NPV(DiscountRate,G17:AJ17)/(1+DiscountRate)^(FirstYear-BaseYear-2)</f>
        <v>378930928.06220162</v>
      </c>
      <c r="G17" s="23">
        <f t="shared" ref="G17:P22" si="6">SUMIF($C$85:$C$128,$C17,G$85:G$128)</f>
        <v>0</v>
      </c>
      <c r="H17" s="23">
        <f t="shared" si="6"/>
        <v>284.10003799582125</v>
      </c>
      <c r="I17" s="23">
        <f t="shared" si="6"/>
        <v>47031.453420641097</v>
      </c>
      <c r="J17" s="23">
        <f t="shared" si="6"/>
        <v>174624211.58772877</v>
      </c>
      <c r="K17" s="23">
        <f t="shared" si="6"/>
        <v>-1549721.6513160877</v>
      </c>
      <c r="L17" s="23">
        <f t="shared" si="6"/>
        <v>11616581.604596723</v>
      </c>
      <c r="M17" s="23">
        <f t="shared" si="6"/>
        <v>11923590.145504778</v>
      </c>
      <c r="N17" s="23">
        <f t="shared" si="6"/>
        <v>12059579.444549374</v>
      </c>
      <c r="O17" s="23">
        <f t="shared" si="6"/>
        <v>13872949.12193374</v>
      </c>
      <c r="P17" s="23">
        <f t="shared" si="6"/>
        <v>247333231.62690398</v>
      </c>
      <c r="Q17" s="23">
        <f t="shared" ref="Q17:Z22" si="7">SUMIF($C$85:$C$128,$C17,Q$85:Q$128)</f>
        <v>55906210.132775657</v>
      </c>
      <c r="R17" s="23">
        <f t="shared" si="7"/>
        <v>-13217485.981303919</v>
      </c>
      <c r="S17" s="23">
        <f t="shared" si="7"/>
        <v>50469215.269280978</v>
      </c>
      <c r="T17" s="23">
        <f t="shared" si="7"/>
        <v>-243719577.8097842</v>
      </c>
      <c r="U17" s="23">
        <f t="shared" si="7"/>
        <v>133951852.35365444</v>
      </c>
      <c r="V17" s="23">
        <f t="shared" si="7"/>
        <v>184946114.13757324</v>
      </c>
      <c r="W17" s="23">
        <f t="shared" si="7"/>
        <v>87717403.830205038</v>
      </c>
      <c r="X17" s="23">
        <f t="shared" si="7"/>
        <v>-288085511.36026037</v>
      </c>
      <c r="Y17" s="23">
        <f t="shared" si="7"/>
        <v>3784194.4744353257</v>
      </c>
      <c r="Z17" s="23">
        <f t="shared" si="7"/>
        <v>3043172.7909887005</v>
      </c>
      <c r="AA17" s="23">
        <f t="shared" ref="AA17:AJ22" si="8">SUMIF($C$85:$C$128,$C17,AA$85:AA$128)</f>
        <v>115350926.39706923</v>
      </c>
      <c r="AB17" s="23">
        <f t="shared" si="8"/>
        <v>-73497830.245429903</v>
      </c>
      <c r="AC17" s="23">
        <f t="shared" si="8"/>
        <v>82484369.785488799</v>
      </c>
      <c r="AD17" s="23">
        <f t="shared" si="8"/>
        <v>30460416.681237049</v>
      </c>
      <c r="AE17" s="23">
        <f t="shared" si="8"/>
        <v>-30910090.41915565</v>
      </c>
      <c r="AF17" s="23">
        <f t="shared" si="8"/>
        <v>49984150.250358887</v>
      </c>
      <c r="AG17" s="23">
        <f t="shared" si="8"/>
        <v>0</v>
      </c>
      <c r="AH17" s="23">
        <f t="shared" si="8"/>
        <v>0</v>
      </c>
      <c r="AI17" s="23">
        <f t="shared" si="8"/>
        <v>0</v>
      </c>
      <c r="AJ17" s="23">
        <f t="shared" si="8"/>
        <v>0</v>
      </c>
    </row>
    <row r="18" spans="2:36" x14ac:dyDescent="0.2">
      <c r="B18" s="9">
        <f>+'I1 General Inputs'!$B$16</f>
        <v>2</v>
      </c>
      <c r="C18" s="15" t="str">
        <f>+'I1 General Inputs'!$C$16</f>
        <v>Option 1B</v>
      </c>
      <c r="D18" s="179"/>
      <c r="E18" s="13" t="s">
        <v>35</v>
      </c>
      <c r="F18" s="25">
        <f t="shared" si="5"/>
        <v>178883072.98971382</v>
      </c>
      <c r="G18" s="23">
        <f t="shared" si="6"/>
        <v>0</v>
      </c>
      <c r="H18" s="23">
        <f t="shared" si="6"/>
        <v>-558.0385087790429</v>
      </c>
      <c r="I18" s="23">
        <f t="shared" si="6"/>
        <v>41656.49738142408</v>
      </c>
      <c r="J18" s="23">
        <f t="shared" si="6"/>
        <v>5807264.4472532477</v>
      </c>
      <c r="K18" s="23">
        <f t="shared" si="6"/>
        <v>3453734.1090996116</v>
      </c>
      <c r="L18" s="23">
        <f t="shared" si="6"/>
        <v>7213075.8837298406</v>
      </c>
      <c r="M18" s="23">
        <f t="shared" si="6"/>
        <v>12323884.948043594</v>
      </c>
      <c r="N18" s="23">
        <f t="shared" si="6"/>
        <v>12843089.57234708</v>
      </c>
      <c r="O18" s="23">
        <f t="shared" si="6"/>
        <v>12141401.758806899</v>
      </c>
      <c r="P18" s="23">
        <f t="shared" si="6"/>
        <v>157868096.68094897</v>
      </c>
      <c r="Q18" s="23">
        <f t="shared" si="7"/>
        <v>1049293.5644811126</v>
      </c>
      <c r="R18" s="23">
        <f t="shared" si="7"/>
        <v>-3741826.3862021789</v>
      </c>
      <c r="S18" s="23">
        <f t="shared" si="7"/>
        <v>-29612286.587636955</v>
      </c>
      <c r="T18" s="23">
        <f t="shared" si="7"/>
        <v>-198586581.31437007</v>
      </c>
      <c r="U18" s="23">
        <f t="shared" si="7"/>
        <v>226329065.70831341</v>
      </c>
      <c r="V18" s="23">
        <f t="shared" si="7"/>
        <v>5146765.3812522814</v>
      </c>
      <c r="W18" s="23">
        <f t="shared" si="7"/>
        <v>177394574.26523271</v>
      </c>
      <c r="X18" s="23">
        <f t="shared" si="7"/>
        <v>-111204093.82332127</v>
      </c>
      <c r="Y18" s="23">
        <f t="shared" si="7"/>
        <v>-4667396.6030853055</v>
      </c>
      <c r="Z18" s="23">
        <f t="shared" si="7"/>
        <v>18955638.412636138</v>
      </c>
      <c r="AA18" s="23">
        <f t="shared" si="8"/>
        <v>-1161285.0064451024</v>
      </c>
      <c r="AB18" s="23">
        <f t="shared" si="8"/>
        <v>25656410.688669667</v>
      </c>
      <c r="AC18" s="23">
        <f t="shared" si="8"/>
        <v>18601834.942292783</v>
      </c>
      <c r="AD18" s="23">
        <f t="shared" si="8"/>
        <v>4500813.4539841861</v>
      </c>
      <c r="AE18" s="23">
        <f t="shared" si="8"/>
        <v>-16826909.88186194</v>
      </c>
      <c r="AF18" s="23">
        <f t="shared" si="8"/>
        <v>43063426.108370982</v>
      </c>
      <c r="AG18" s="23">
        <f t="shared" si="8"/>
        <v>0</v>
      </c>
      <c r="AH18" s="23">
        <f t="shared" si="8"/>
        <v>0</v>
      </c>
      <c r="AI18" s="23">
        <f t="shared" si="8"/>
        <v>0</v>
      </c>
      <c r="AJ18" s="23">
        <f t="shared" si="8"/>
        <v>0</v>
      </c>
    </row>
    <row r="19" spans="2:36" x14ac:dyDescent="0.2">
      <c r="B19" s="9">
        <f>+'I1 General Inputs'!$B$17</f>
        <v>3</v>
      </c>
      <c r="C19" s="15" t="str">
        <f>+'I1 General Inputs'!$C$17</f>
        <v>Option 1C</v>
      </c>
      <c r="D19" s="179"/>
      <c r="E19" s="13" t="s">
        <v>35</v>
      </c>
      <c r="F19" s="25">
        <f t="shared" si="5"/>
        <v>146402375.2661956</v>
      </c>
      <c r="G19" s="23">
        <f t="shared" si="6"/>
        <v>0</v>
      </c>
      <c r="H19" s="23">
        <f t="shared" si="6"/>
        <v>244.30700182613256</v>
      </c>
      <c r="I19" s="23">
        <f t="shared" si="6"/>
        <v>18649.05985334055</v>
      </c>
      <c r="J19" s="23">
        <f t="shared" si="6"/>
        <v>79806545.811667725</v>
      </c>
      <c r="K19" s="23">
        <f t="shared" si="6"/>
        <v>33184156.828069184</v>
      </c>
      <c r="L19" s="23">
        <f t="shared" si="6"/>
        <v>12219719.567750376</v>
      </c>
      <c r="M19" s="23">
        <f t="shared" si="6"/>
        <v>563128.49213474442</v>
      </c>
      <c r="N19" s="23">
        <f t="shared" si="6"/>
        <v>-136376.65259110997</v>
      </c>
      <c r="O19" s="23">
        <f t="shared" si="6"/>
        <v>1635339.2374376785</v>
      </c>
      <c r="P19" s="23">
        <f t="shared" si="6"/>
        <v>69870519.472154751</v>
      </c>
      <c r="Q19" s="23">
        <f t="shared" si="7"/>
        <v>-42685779.484910205</v>
      </c>
      <c r="R19" s="23">
        <f t="shared" si="7"/>
        <v>630705.1271229171</v>
      </c>
      <c r="S19" s="23">
        <f t="shared" si="7"/>
        <v>155510659.37849385</v>
      </c>
      <c r="T19" s="23">
        <f t="shared" si="7"/>
        <v>-64852929.299538806</v>
      </c>
      <c r="U19" s="23">
        <f t="shared" si="7"/>
        <v>-55579174.824375249</v>
      </c>
      <c r="V19" s="23">
        <f t="shared" si="7"/>
        <v>184042487.55488604</v>
      </c>
      <c r="W19" s="23">
        <f t="shared" si="7"/>
        <v>-69976555.852929205</v>
      </c>
      <c r="X19" s="23">
        <f t="shared" si="7"/>
        <v>-195395618.26788369</v>
      </c>
      <c r="Y19" s="23">
        <f t="shared" si="7"/>
        <v>-12742297.097685564</v>
      </c>
      <c r="Z19" s="23">
        <f t="shared" si="7"/>
        <v>-2277161.0285240384</v>
      </c>
      <c r="AA19" s="23">
        <f t="shared" si="8"/>
        <v>169170014.84708691</v>
      </c>
      <c r="AB19" s="23">
        <f t="shared" si="8"/>
        <v>-108619611.21719874</v>
      </c>
      <c r="AC19" s="23">
        <f t="shared" si="8"/>
        <v>27434429.673407298</v>
      </c>
      <c r="AD19" s="23">
        <f t="shared" si="8"/>
        <v>13757586.94081242</v>
      </c>
      <c r="AE19" s="23">
        <f t="shared" si="8"/>
        <v>-16412964.087385628</v>
      </c>
      <c r="AF19" s="23">
        <f t="shared" si="8"/>
        <v>10397761.646526871</v>
      </c>
      <c r="AG19" s="23">
        <f t="shared" si="8"/>
        <v>0</v>
      </c>
      <c r="AH19" s="23">
        <f t="shared" si="8"/>
        <v>0</v>
      </c>
      <c r="AI19" s="23">
        <f t="shared" si="8"/>
        <v>0</v>
      </c>
      <c r="AJ19" s="23">
        <f t="shared" si="8"/>
        <v>0</v>
      </c>
    </row>
    <row r="20" spans="2:36" x14ac:dyDescent="0.2">
      <c r="B20" s="9">
        <f>+'I1 General Inputs'!$B$18</f>
        <v>4</v>
      </c>
      <c r="C20" s="15" t="str">
        <f>+'I1 General Inputs'!$C$18</f>
        <v>Option 1D</v>
      </c>
      <c r="D20" s="179"/>
      <c r="E20" s="13" t="s">
        <v>35</v>
      </c>
      <c r="F20" s="25">
        <f t="shared" si="5"/>
        <v>95069891.682441711</v>
      </c>
      <c r="G20" s="23">
        <f t="shared" si="6"/>
        <v>0</v>
      </c>
      <c r="H20" s="23">
        <f t="shared" si="6"/>
        <v>302.76730728110522</v>
      </c>
      <c r="I20" s="23">
        <f t="shared" si="6"/>
        <v>15702.586754770671</v>
      </c>
      <c r="J20" s="23">
        <f t="shared" si="6"/>
        <v>74167118.711482465</v>
      </c>
      <c r="K20" s="23">
        <f t="shared" si="6"/>
        <v>32595094.804742891</v>
      </c>
      <c r="L20" s="23">
        <f t="shared" si="6"/>
        <v>7745207.9430023432</v>
      </c>
      <c r="M20" s="23">
        <f t="shared" si="6"/>
        <v>-72142.734089482998</v>
      </c>
      <c r="N20" s="23">
        <f t="shared" si="6"/>
        <v>-843785.36511252192</v>
      </c>
      <c r="O20" s="23">
        <f t="shared" si="6"/>
        <v>-2024939.4244651152</v>
      </c>
      <c r="P20" s="23">
        <f t="shared" si="6"/>
        <v>50184790.957481071</v>
      </c>
      <c r="Q20" s="23">
        <f t="shared" si="7"/>
        <v>-67230956.234718561</v>
      </c>
      <c r="R20" s="23">
        <f t="shared" si="7"/>
        <v>1455441.7475580093</v>
      </c>
      <c r="S20" s="23">
        <f t="shared" si="7"/>
        <v>98378151.496627688</v>
      </c>
      <c r="T20" s="23">
        <f t="shared" si="7"/>
        <v>-15149520.463312004</v>
      </c>
      <c r="U20" s="23">
        <f t="shared" si="7"/>
        <v>-15739976.58611998</v>
      </c>
      <c r="V20" s="23">
        <f t="shared" si="7"/>
        <v>10552736.414469898</v>
      </c>
      <c r="W20" s="23">
        <f t="shared" si="7"/>
        <v>22667882.072780572</v>
      </c>
      <c r="X20" s="23">
        <f t="shared" si="7"/>
        <v>-115113305.00741349</v>
      </c>
      <c r="Y20" s="23">
        <f t="shared" si="7"/>
        <v>-2035533.5566243241</v>
      </c>
      <c r="Z20" s="23">
        <f t="shared" si="7"/>
        <v>-2413144.6714176843</v>
      </c>
      <c r="AA20" s="23">
        <f t="shared" si="8"/>
        <v>49169293.084532507</v>
      </c>
      <c r="AB20" s="23">
        <f t="shared" si="8"/>
        <v>-46315344.391266689</v>
      </c>
      <c r="AC20" s="23">
        <f t="shared" si="8"/>
        <v>9871200.7525857035</v>
      </c>
      <c r="AD20" s="23">
        <f t="shared" si="8"/>
        <v>-1886234.8005385771</v>
      </c>
      <c r="AE20" s="23">
        <f t="shared" si="8"/>
        <v>3197613.1286962032</v>
      </c>
      <c r="AF20" s="23">
        <f t="shared" si="8"/>
        <v>5701014.8155247625</v>
      </c>
      <c r="AG20" s="23">
        <f t="shared" si="8"/>
        <v>0</v>
      </c>
      <c r="AH20" s="23">
        <f t="shared" si="8"/>
        <v>0</v>
      </c>
      <c r="AI20" s="23">
        <f t="shared" si="8"/>
        <v>0</v>
      </c>
      <c r="AJ20" s="23">
        <f t="shared" si="8"/>
        <v>0</v>
      </c>
    </row>
    <row r="21" spans="2:36" x14ac:dyDescent="0.2">
      <c r="B21" s="9">
        <f>+'I1 General Inputs'!$B$19</f>
        <v>5</v>
      </c>
      <c r="C21" s="15" t="str">
        <f>+'I1 General Inputs'!$C$19</f>
        <v>Option 5A</v>
      </c>
      <c r="D21" s="179"/>
      <c r="E21" s="13" t="s">
        <v>35</v>
      </c>
      <c r="F21" s="25">
        <f t="shared" si="5"/>
        <v>0</v>
      </c>
      <c r="G21" s="23">
        <f t="shared" si="6"/>
        <v>0</v>
      </c>
      <c r="H21" s="23">
        <f t="shared" si="6"/>
        <v>0</v>
      </c>
      <c r="I21" s="23">
        <f t="shared" si="6"/>
        <v>0</v>
      </c>
      <c r="J21" s="23">
        <f t="shared" si="6"/>
        <v>0</v>
      </c>
      <c r="K21" s="23">
        <f t="shared" si="6"/>
        <v>0</v>
      </c>
      <c r="L21" s="23">
        <f t="shared" si="6"/>
        <v>0</v>
      </c>
      <c r="M21" s="23">
        <f t="shared" si="6"/>
        <v>0</v>
      </c>
      <c r="N21" s="23">
        <f t="shared" si="6"/>
        <v>0</v>
      </c>
      <c r="O21" s="23">
        <f t="shared" si="6"/>
        <v>0</v>
      </c>
      <c r="P21" s="23">
        <f t="shared" si="6"/>
        <v>0</v>
      </c>
      <c r="Q21" s="23">
        <f t="shared" si="7"/>
        <v>0</v>
      </c>
      <c r="R21" s="23">
        <f t="shared" si="7"/>
        <v>0</v>
      </c>
      <c r="S21" s="23">
        <f t="shared" si="7"/>
        <v>0</v>
      </c>
      <c r="T21" s="23">
        <f t="shared" si="7"/>
        <v>0</v>
      </c>
      <c r="U21" s="23">
        <f t="shared" si="7"/>
        <v>0</v>
      </c>
      <c r="V21" s="23">
        <f t="shared" si="7"/>
        <v>0</v>
      </c>
      <c r="W21" s="23">
        <f t="shared" si="7"/>
        <v>0</v>
      </c>
      <c r="X21" s="23">
        <f t="shared" si="7"/>
        <v>0</v>
      </c>
      <c r="Y21" s="23">
        <f t="shared" si="7"/>
        <v>0</v>
      </c>
      <c r="Z21" s="23">
        <f t="shared" si="7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</row>
    <row r="22" spans="2:36" x14ac:dyDescent="0.2">
      <c r="B22" s="9">
        <f>+'I1 General Inputs'!$B$20</f>
        <v>6</v>
      </c>
      <c r="C22" s="15" t="str">
        <f>+'I1 General Inputs'!$C$20</f>
        <v>Option 5B</v>
      </c>
      <c r="D22" s="179"/>
      <c r="E22" s="13" t="s">
        <v>35</v>
      </c>
      <c r="F22" s="25">
        <f t="shared" si="5"/>
        <v>499451217.14584947</v>
      </c>
      <c r="G22" s="23">
        <f t="shared" si="6"/>
        <v>0</v>
      </c>
      <c r="H22" s="23">
        <f t="shared" si="6"/>
        <v>150.54284346198054</v>
      </c>
      <c r="I22" s="23">
        <f t="shared" si="6"/>
        <v>85480.825765367015</v>
      </c>
      <c r="J22" s="23">
        <f t="shared" si="6"/>
        <v>180274245.09531435</v>
      </c>
      <c r="K22" s="23">
        <f t="shared" si="6"/>
        <v>34993085.802223891</v>
      </c>
      <c r="L22" s="23">
        <f t="shared" si="6"/>
        <v>10498195.616289014</v>
      </c>
      <c r="M22" s="23">
        <f t="shared" si="6"/>
        <v>17476148.002877489</v>
      </c>
      <c r="N22" s="23">
        <f t="shared" si="6"/>
        <v>13995532.221539384</v>
      </c>
      <c r="O22" s="23">
        <f t="shared" si="6"/>
        <v>59811684.09435866</v>
      </c>
      <c r="P22" s="23">
        <f t="shared" si="6"/>
        <v>452032249.70186836</v>
      </c>
      <c r="Q22" s="23">
        <f t="shared" si="7"/>
        <v>146984760.67290816</v>
      </c>
      <c r="R22" s="23">
        <f t="shared" si="7"/>
        <v>-65826601.075019896</v>
      </c>
      <c r="S22" s="23">
        <f t="shared" si="7"/>
        <v>-31861031.835874047</v>
      </c>
      <c r="T22" s="23">
        <f t="shared" si="7"/>
        <v>-160015540.02729768</v>
      </c>
      <c r="U22" s="23">
        <f t="shared" si="7"/>
        <v>48268779.758926578</v>
      </c>
      <c r="V22" s="23">
        <f t="shared" si="7"/>
        <v>142592792.08704069</v>
      </c>
      <c r="W22" s="23">
        <f t="shared" si="7"/>
        <v>82626437.067460984</v>
      </c>
      <c r="X22" s="23">
        <f t="shared" si="7"/>
        <v>-376237156.20814687</v>
      </c>
      <c r="Y22" s="23">
        <f t="shared" si="7"/>
        <v>5582673.9913250804</v>
      </c>
      <c r="Z22" s="23">
        <f t="shared" si="7"/>
        <v>58340973.505581588</v>
      </c>
      <c r="AA22" s="23">
        <f t="shared" si="8"/>
        <v>54860473.550865486</v>
      </c>
      <c r="AB22" s="23">
        <f t="shared" si="8"/>
        <v>-76416507.072671652</v>
      </c>
      <c r="AC22" s="23">
        <f t="shared" si="8"/>
        <v>90736595.014092416</v>
      </c>
      <c r="AD22" s="23">
        <f t="shared" si="8"/>
        <v>5202009.6998123154</v>
      </c>
      <c r="AE22" s="23">
        <f t="shared" si="8"/>
        <v>-17390201.580181923</v>
      </c>
      <c r="AF22" s="23">
        <f t="shared" si="8"/>
        <v>61891966.392632402</v>
      </c>
      <c r="AG22" s="23">
        <f t="shared" si="8"/>
        <v>0</v>
      </c>
      <c r="AH22" s="23">
        <f t="shared" si="8"/>
        <v>0</v>
      </c>
      <c r="AI22" s="23">
        <f t="shared" si="8"/>
        <v>0</v>
      </c>
      <c r="AJ22" s="23">
        <f t="shared" si="8"/>
        <v>0</v>
      </c>
    </row>
    <row r="23" spans="2:36" x14ac:dyDescent="0.2"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</row>
    <row r="24" spans="2:36" ht="15.75" x14ac:dyDescent="0.25">
      <c r="B24" s="5" t="s">
        <v>91</v>
      </c>
      <c r="C24" s="30"/>
      <c r="D24" s="30"/>
      <c r="E24" s="12"/>
      <c r="F24" s="12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2:36" ht="15.75" x14ac:dyDescent="0.25">
      <c r="B25" s="7" t="s">
        <v>14</v>
      </c>
      <c r="C25" s="11" t="s">
        <v>13</v>
      </c>
      <c r="D25" s="11"/>
      <c r="E25" s="8" t="s">
        <v>22</v>
      </c>
      <c r="F25" s="8" t="s">
        <v>37</v>
      </c>
      <c r="G25" s="14">
        <f t="shared" ref="G25:AJ25" si="9">+G7</f>
        <v>2020</v>
      </c>
      <c r="H25" s="14">
        <f t="shared" si="9"/>
        <v>2021</v>
      </c>
      <c r="I25" s="14">
        <f t="shared" si="9"/>
        <v>2022</v>
      </c>
      <c r="J25" s="14">
        <f t="shared" si="9"/>
        <v>2023</v>
      </c>
      <c r="K25" s="14">
        <f t="shared" si="9"/>
        <v>2024</v>
      </c>
      <c r="L25" s="14">
        <f t="shared" si="9"/>
        <v>2025</v>
      </c>
      <c r="M25" s="14">
        <f t="shared" si="9"/>
        <v>2026</v>
      </c>
      <c r="N25" s="14">
        <f t="shared" si="9"/>
        <v>2027</v>
      </c>
      <c r="O25" s="14">
        <f t="shared" si="9"/>
        <v>2028</v>
      </c>
      <c r="P25" s="14">
        <f t="shared" si="9"/>
        <v>2029</v>
      </c>
      <c r="Q25" s="14">
        <f t="shared" si="9"/>
        <v>2030</v>
      </c>
      <c r="R25" s="14">
        <f t="shared" si="9"/>
        <v>2031</v>
      </c>
      <c r="S25" s="14">
        <f t="shared" si="9"/>
        <v>2032</v>
      </c>
      <c r="T25" s="14">
        <f t="shared" si="9"/>
        <v>2033</v>
      </c>
      <c r="U25" s="14">
        <f t="shared" si="9"/>
        <v>2034</v>
      </c>
      <c r="V25" s="14">
        <f t="shared" si="9"/>
        <v>2035</v>
      </c>
      <c r="W25" s="14">
        <f t="shared" si="9"/>
        <v>2036</v>
      </c>
      <c r="X25" s="14">
        <f t="shared" si="9"/>
        <v>2037</v>
      </c>
      <c r="Y25" s="14">
        <f t="shared" si="9"/>
        <v>2038</v>
      </c>
      <c r="Z25" s="14">
        <f t="shared" si="9"/>
        <v>2039</v>
      </c>
      <c r="AA25" s="14">
        <f t="shared" si="9"/>
        <v>2040</v>
      </c>
      <c r="AB25" s="14">
        <f t="shared" si="9"/>
        <v>2041</v>
      </c>
      <c r="AC25" s="14">
        <f t="shared" si="9"/>
        <v>2042</v>
      </c>
      <c r="AD25" s="14">
        <f t="shared" si="9"/>
        <v>2043</v>
      </c>
      <c r="AE25" s="14">
        <f t="shared" si="9"/>
        <v>2044</v>
      </c>
      <c r="AF25" s="14">
        <f t="shared" si="9"/>
        <v>2045</v>
      </c>
      <c r="AG25" s="14">
        <f t="shared" si="9"/>
        <v>0</v>
      </c>
      <c r="AH25" s="14">
        <f t="shared" si="9"/>
        <v>0</v>
      </c>
      <c r="AI25" s="14">
        <f t="shared" si="9"/>
        <v>0</v>
      </c>
      <c r="AJ25" s="14">
        <f t="shared" si="9"/>
        <v>0</v>
      </c>
    </row>
    <row r="26" spans="2:36" x14ac:dyDescent="0.2">
      <c r="B26" s="9">
        <f>+'I1 General Inputs'!$B$15</f>
        <v>1</v>
      </c>
      <c r="C26" s="15" t="str">
        <f>+'I1 General Inputs'!$C$15</f>
        <v>Option 1A</v>
      </c>
      <c r="D26" s="28"/>
      <c r="E26" s="13" t="s">
        <v>35</v>
      </c>
      <c r="F26" s="25">
        <f t="shared" ref="F26:F31" si="10">NPV(DiscountRate,G26:AJ26)/(1+DiscountRate)^(FirstYear-BaseYear-2)</f>
        <v>-161054816.8126936</v>
      </c>
      <c r="G26" s="23">
        <f t="shared" ref="G26:P31" si="11">SUMIF($C$65:$C$81,$C26,G$65:G$81)</f>
        <v>0</v>
      </c>
      <c r="H26" s="23">
        <f t="shared" si="11"/>
        <v>0</v>
      </c>
      <c r="I26" s="23">
        <f t="shared" si="11"/>
        <v>-175100000</v>
      </c>
      <c r="J26" s="23">
        <f t="shared" si="11"/>
        <v>-1751000</v>
      </c>
      <c r="K26" s="23">
        <f t="shared" si="11"/>
        <v>-1751000</v>
      </c>
      <c r="L26" s="23">
        <f t="shared" si="11"/>
        <v>-1751000</v>
      </c>
      <c r="M26" s="23">
        <f t="shared" si="11"/>
        <v>-1751000</v>
      </c>
      <c r="N26" s="23">
        <f t="shared" si="11"/>
        <v>-1751000</v>
      </c>
      <c r="O26" s="23">
        <f t="shared" si="11"/>
        <v>-1751000</v>
      </c>
      <c r="P26" s="23">
        <f t="shared" si="11"/>
        <v>-1751000</v>
      </c>
      <c r="Q26" s="23">
        <f t="shared" ref="Q26:Z31" si="12">SUMIF($C$65:$C$81,$C26,Q$65:Q$81)</f>
        <v>-1791000</v>
      </c>
      <c r="R26" s="23">
        <f t="shared" si="12"/>
        <v>-1751000</v>
      </c>
      <c r="S26" s="23">
        <f t="shared" si="12"/>
        <v>-1751000</v>
      </c>
      <c r="T26" s="23">
        <f t="shared" si="12"/>
        <v>-1751000</v>
      </c>
      <c r="U26" s="23">
        <f t="shared" si="12"/>
        <v>-1751000</v>
      </c>
      <c r="V26" s="23">
        <f t="shared" si="12"/>
        <v>-1751000</v>
      </c>
      <c r="W26" s="23">
        <f t="shared" si="12"/>
        <v>-1751000</v>
      </c>
      <c r="X26" s="23">
        <f t="shared" si="12"/>
        <v>-10151000</v>
      </c>
      <c r="Y26" s="23">
        <f t="shared" si="12"/>
        <v>-1791000</v>
      </c>
      <c r="Z26" s="23">
        <f t="shared" si="12"/>
        <v>-1751000</v>
      </c>
      <c r="AA26" s="23">
        <f t="shared" ref="AA26:AJ31" si="13">SUMIF($C$65:$C$81,$C26,AA$65:AA$81)</f>
        <v>-1751000</v>
      </c>
      <c r="AB26" s="23">
        <f t="shared" si="13"/>
        <v>-1751000</v>
      </c>
      <c r="AC26" s="23">
        <f t="shared" si="13"/>
        <v>-1751000</v>
      </c>
      <c r="AD26" s="23">
        <f t="shared" si="13"/>
        <v>-1751000</v>
      </c>
      <c r="AE26" s="23">
        <f t="shared" si="13"/>
        <v>-1751000</v>
      </c>
      <c r="AF26" s="23">
        <f t="shared" si="13"/>
        <v>72309000</v>
      </c>
      <c r="AG26" s="23">
        <f t="shared" si="13"/>
        <v>0</v>
      </c>
      <c r="AH26" s="23">
        <f t="shared" si="13"/>
        <v>0</v>
      </c>
      <c r="AI26" s="23">
        <f t="shared" si="13"/>
        <v>0</v>
      </c>
      <c r="AJ26" s="23">
        <f t="shared" si="13"/>
        <v>0</v>
      </c>
    </row>
    <row r="27" spans="2:36" x14ac:dyDescent="0.2">
      <c r="B27" s="9">
        <f>+'I1 General Inputs'!$B$16</f>
        <v>2</v>
      </c>
      <c r="C27" s="15" t="str">
        <f>+'I1 General Inputs'!$C$16</f>
        <v>Option 1B</v>
      </c>
      <c r="D27" s="28"/>
      <c r="E27" s="13" t="s">
        <v>35</v>
      </c>
      <c r="F27" s="25">
        <f t="shared" si="10"/>
        <v>-29423839.157603689</v>
      </c>
      <c r="G27" s="23">
        <f t="shared" si="11"/>
        <v>0</v>
      </c>
      <c r="H27" s="23">
        <f t="shared" si="11"/>
        <v>0</v>
      </c>
      <c r="I27" s="23">
        <f t="shared" si="11"/>
        <v>-33500000</v>
      </c>
      <c r="J27" s="23">
        <f t="shared" si="11"/>
        <v>-335000</v>
      </c>
      <c r="K27" s="23">
        <f t="shared" si="11"/>
        <v>-335000</v>
      </c>
      <c r="L27" s="23">
        <f t="shared" si="11"/>
        <v>-335000</v>
      </c>
      <c r="M27" s="23">
        <f t="shared" si="11"/>
        <v>-335000</v>
      </c>
      <c r="N27" s="23">
        <f t="shared" si="11"/>
        <v>-335000</v>
      </c>
      <c r="O27" s="23">
        <f t="shared" si="11"/>
        <v>-335000</v>
      </c>
      <c r="P27" s="23">
        <f t="shared" si="11"/>
        <v>-335000</v>
      </c>
      <c r="Q27" s="23">
        <f t="shared" si="12"/>
        <v>-335000</v>
      </c>
      <c r="R27" s="23">
        <f t="shared" si="12"/>
        <v>-335000</v>
      </c>
      <c r="S27" s="23">
        <f t="shared" si="12"/>
        <v>-335000</v>
      </c>
      <c r="T27" s="23">
        <f t="shared" si="12"/>
        <v>-335000</v>
      </c>
      <c r="U27" s="23">
        <f t="shared" si="12"/>
        <v>-335000</v>
      </c>
      <c r="V27" s="23">
        <f t="shared" si="12"/>
        <v>-335000</v>
      </c>
      <c r="W27" s="23">
        <f t="shared" si="12"/>
        <v>-335000</v>
      </c>
      <c r="X27" s="23">
        <f t="shared" si="12"/>
        <v>-335000</v>
      </c>
      <c r="Y27" s="23">
        <f t="shared" si="12"/>
        <v>-335000</v>
      </c>
      <c r="Z27" s="23">
        <f t="shared" si="12"/>
        <v>-335000</v>
      </c>
      <c r="AA27" s="23">
        <f t="shared" si="13"/>
        <v>-335000</v>
      </c>
      <c r="AB27" s="23">
        <f t="shared" si="13"/>
        <v>-335000</v>
      </c>
      <c r="AC27" s="23">
        <f t="shared" si="13"/>
        <v>-335000</v>
      </c>
      <c r="AD27" s="23">
        <f t="shared" si="13"/>
        <v>-335000</v>
      </c>
      <c r="AE27" s="23">
        <f t="shared" si="13"/>
        <v>-335000</v>
      </c>
      <c r="AF27" s="23">
        <f t="shared" si="13"/>
        <v>17085000</v>
      </c>
      <c r="AG27" s="23">
        <f t="shared" si="13"/>
        <v>0</v>
      </c>
      <c r="AH27" s="23">
        <f t="shared" si="13"/>
        <v>0</v>
      </c>
      <c r="AI27" s="23">
        <f t="shared" si="13"/>
        <v>0</v>
      </c>
      <c r="AJ27" s="23">
        <f t="shared" si="13"/>
        <v>0</v>
      </c>
    </row>
    <row r="28" spans="2:36" x14ac:dyDescent="0.2">
      <c r="B28" s="9">
        <f>+'I1 General Inputs'!$B$17</f>
        <v>3</v>
      </c>
      <c r="C28" s="15" t="str">
        <f>+'I1 General Inputs'!$C$17</f>
        <v>Option 1C</v>
      </c>
      <c r="D28" s="28"/>
      <c r="E28" s="13" t="s">
        <v>35</v>
      </c>
      <c r="F28" s="25">
        <f t="shared" si="10"/>
        <v>-131630977.6550899</v>
      </c>
      <c r="G28" s="20">
        <f t="shared" si="11"/>
        <v>0</v>
      </c>
      <c r="H28" s="20">
        <f t="shared" si="11"/>
        <v>0</v>
      </c>
      <c r="I28" s="20">
        <f t="shared" si="11"/>
        <v>-141600000</v>
      </c>
      <c r="J28" s="20">
        <f t="shared" si="11"/>
        <v>-1416000</v>
      </c>
      <c r="K28" s="20">
        <f t="shared" si="11"/>
        <v>-1416000</v>
      </c>
      <c r="L28" s="20">
        <f t="shared" si="11"/>
        <v>-1416000</v>
      </c>
      <c r="M28" s="20">
        <f t="shared" si="11"/>
        <v>-1416000</v>
      </c>
      <c r="N28" s="20">
        <f t="shared" si="11"/>
        <v>-1416000</v>
      </c>
      <c r="O28" s="20">
        <f t="shared" si="11"/>
        <v>-1416000</v>
      </c>
      <c r="P28" s="20">
        <f t="shared" si="11"/>
        <v>-1416000</v>
      </c>
      <c r="Q28" s="20">
        <f t="shared" si="12"/>
        <v>-1456000</v>
      </c>
      <c r="R28" s="20">
        <f t="shared" si="12"/>
        <v>-1416000</v>
      </c>
      <c r="S28" s="20">
        <f t="shared" si="12"/>
        <v>-1416000</v>
      </c>
      <c r="T28" s="20">
        <f t="shared" si="12"/>
        <v>-1416000</v>
      </c>
      <c r="U28" s="20">
        <f t="shared" si="12"/>
        <v>-1416000</v>
      </c>
      <c r="V28" s="20">
        <f t="shared" si="12"/>
        <v>-1416000</v>
      </c>
      <c r="W28" s="20">
        <f t="shared" si="12"/>
        <v>-1416000</v>
      </c>
      <c r="X28" s="20">
        <f t="shared" si="12"/>
        <v>-9816000</v>
      </c>
      <c r="Y28" s="20">
        <f t="shared" si="12"/>
        <v>-1456000</v>
      </c>
      <c r="Z28" s="20">
        <f t="shared" si="12"/>
        <v>-1416000</v>
      </c>
      <c r="AA28" s="20">
        <f t="shared" si="13"/>
        <v>-1416000</v>
      </c>
      <c r="AB28" s="20">
        <f t="shared" si="13"/>
        <v>-1416000</v>
      </c>
      <c r="AC28" s="20">
        <f t="shared" si="13"/>
        <v>-1416000</v>
      </c>
      <c r="AD28" s="20">
        <f t="shared" si="13"/>
        <v>-1416000</v>
      </c>
      <c r="AE28" s="20">
        <f t="shared" si="13"/>
        <v>-1416000</v>
      </c>
      <c r="AF28" s="20">
        <f t="shared" si="13"/>
        <v>55224000</v>
      </c>
      <c r="AG28" s="20">
        <f t="shared" si="13"/>
        <v>0</v>
      </c>
      <c r="AH28" s="20">
        <f t="shared" si="13"/>
        <v>0</v>
      </c>
      <c r="AI28" s="20">
        <f t="shared" si="13"/>
        <v>0</v>
      </c>
      <c r="AJ28" s="20">
        <f t="shared" si="13"/>
        <v>0</v>
      </c>
    </row>
    <row r="29" spans="2:36" x14ac:dyDescent="0.2">
      <c r="B29" s="9">
        <f>+'I1 General Inputs'!$B$18</f>
        <v>4</v>
      </c>
      <c r="C29" s="15" t="str">
        <f>+'I1 General Inputs'!$C$18</f>
        <v>Option 1D</v>
      </c>
      <c r="D29" s="28"/>
      <c r="E29" s="13" t="s">
        <v>35</v>
      </c>
      <c r="F29" s="25">
        <f t="shared" si="10"/>
        <v>-40812794.062309697</v>
      </c>
      <c r="G29" s="20">
        <f t="shared" si="11"/>
        <v>0</v>
      </c>
      <c r="H29" s="20">
        <f t="shared" si="11"/>
        <v>0</v>
      </c>
      <c r="I29" s="20">
        <f t="shared" si="11"/>
        <v>-45000000</v>
      </c>
      <c r="J29" s="20">
        <f t="shared" si="11"/>
        <v>-450000</v>
      </c>
      <c r="K29" s="20">
        <f t="shared" si="11"/>
        <v>-450000</v>
      </c>
      <c r="L29" s="20">
        <f t="shared" si="11"/>
        <v>-450000</v>
      </c>
      <c r="M29" s="20">
        <f t="shared" si="11"/>
        <v>-450000</v>
      </c>
      <c r="N29" s="20">
        <f t="shared" si="11"/>
        <v>-450000</v>
      </c>
      <c r="O29" s="20">
        <f t="shared" si="11"/>
        <v>-450000</v>
      </c>
      <c r="P29" s="20">
        <f t="shared" si="11"/>
        <v>-450000</v>
      </c>
      <c r="Q29" s="20">
        <f t="shared" si="12"/>
        <v>-450000</v>
      </c>
      <c r="R29" s="20">
        <f t="shared" si="12"/>
        <v>-450000</v>
      </c>
      <c r="S29" s="20">
        <f t="shared" si="12"/>
        <v>-450000</v>
      </c>
      <c r="T29" s="20">
        <f t="shared" si="12"/>
        <v>-450000</v>
      </c>
      <c r="U29" s="20">
        <f t="shared" si="12"/>
        <v>-450000</v>
      </c>
      <c r="V29" s="20">
        <f t="shared" si="12"/>
        <v>-450000</v>
      </c>
      <c r="W29" s="20">
        <f t="shared" si="12"/>
        <v>-450000</v>
      </c>
      <c r="X29" s="20">
        <f t="shared" si="12"/>
        <v>-450000</v>
      </c>
      <c r="Y29" s="20">
        <f t="shared" si="12"/>
        <v>-450000</v>
      </c>
      <c r="Z29" s="20">
        <f t="shared" si="12"/>
        <v>-450000</v>
      </c>
      <c r="AA29" s="20">
        <f t="shared" si="13"/>
        <v>-450000</v>
      </c>
      <c r="AB29" s="20">
        <f t="shared" si="13"/>
        <v>-450000</v>
      </c>
      <c r="AC29" s="20">
        <f t="shared" si="13"/>
        <v>-450000</v>
      </c>
      <c r="AD29" s="20">
        <f t="shared" si="13"/>
        <v>-450000</v>
      </c>
      <c r="AE29" s="20">
        <f t="shared" si="13"/>
        <v>-450000</v>
      </c>
      <c r="AF29" s="20">
        <f t="shared" si="13"/>
        <v>17550000</v>
      </c>
      <c r="AG29" s="20">
        <f t="shared" si="13"/>
        <v>0</v>
      </c>
      <c r="AH29" s="20">
        <f t="shared" si="13"/>
        <v>0</v>
      </c>
      <c r="AI29" s="20">
        <f t="shared" si="13"/>
        <v>0</v>
      </c>
      <c r="AJ29" s="20">
        <f t="shared" si="13"/>
        <v>0</v>
      </c>
    </row>
    <row r="30" spans="2:36" x14ac:dyDescent="0.2">
      <c r="B30" s="9">
        <f>+'I1 General Inputs'!$B$19</f>
        <v>5</v>
      </c>
      <c r="C30" s="15" t="str">
        <f>+'I1 General Inputs'!$C$19</f>
        <v>Option 5A</v>
      </c>
      <c r="D30" s="28"/>
      <c r="E30" s="13" t="s">
        <v>35</v>
      </c>
      <c r="F30" s="25">
        <f t="shared" si="10"/>
        <v>-88675982.718727261</v>
      </c>
      <c r="G30" s="20">
        <f t="shared" si="11"/>
        <v>0</v>
      </c>
      <c r="H30" s="20">
        <f t="shared" si="11"/>
        <v>0</v>
      </c>
      <c r="I30" s="20">
        <f t="shared" si="11"/>
        <v>-86000000</v>
      </c>
      <c r="J30" s="20">
        <f t="shared" si="11"/>
        <v>-860000</v>
      </c>
      <c r="K30" s="20">
        <f t="shared" si="11"/>
        <v>-860000</v>
      </c>
      <c r="L30" s="20">
        <f t="shared" si="11"/>
        <v>-860000</v>
      </c>
      <c r="M30" s="20">
        <f t="shared" si="11"/>
        <v>-860000</v>
      </c>
      <c r="N30" s="20">
        <f t="shared" si="11"/>
        <v>-860000</v>
      </c>
      <c r="O30" s="20">
        <f t="shared" si="11"/>
        <v>-860000</v>
      </c>
      <c r="P30" s="20">
        <f t="shared" si="11"/>
        <v>-860000</v>
      </c>
      <c r="Q30" s="20">
        <f t="shared" si="12"/>
        <v>-860000</v>
      </c>
      <c r="R30" s="20">
        <f t="shared" si="12"/>
        <v>-860000</v>
      </c>
      <c r="S30" s="20">
        <f t="shared" si="12"/>
        <v>-860000</v>
      </c>
      <c r="T30" s="20">
        <f t="shared" si="12"/>
        <v>-860000</v>
      </c>
      <c r="U30" s="20">
        <f t="shared" si="12"/>
        <v>-860000</v>
      </c>
      <c r="V30" s="20">
        <f t="shared" si="12"/>
        <v>-860000</v>
      </c>
      <c r="W30" s="20">
        <f t="shared" si="12"/>
        <v>-860000</v>
      </c>
      <c r="X30" s="20">
        <f t="shared" si="12"/>
        <v>-24460000</v>
      </c>
      <c r="Y30" s="20">
        <f t="shared" si="12"/>
        <v>-506000</v>
      </c>
      <c r="Z30" s="20">
        <f t="shared" si="12"/>
        <v>-506000</v>
      </c>
      <c r="AA30" s="20">
        <f t="shared" si="13"/>
        <v>-506000</v>
      </c>
      <c r="AB30" s="20">
        <f t="shared" si="13"/>
        <v>-506000</v>
      </c>
      <c r="AC30" s="20">
        <f t="shared" si="13"/>
        <v>-506000</v>
      </c>
      <c r="AD30" s="20">
        <f t="shared" si="13"/>
        <v>-506000</v>
      </c>
      <c r="AE30" s="20">
        <f t="shared" si="13"/>
        <v>-506000</v>
      </c>
      <c r="AF30" s="20">
        <f t="shared" si="13"/>
        <v>22974000</v>
      </c>
      <c r="AG30" s="20">
        <f t="shared" si="13"/>
        <v>0</v>
      </c>
      <c r="AH30" s="20">
        <f t="shared" si="13"/>
        <v>0</v>
      </c>
      <c r="AI30" s="20">
        <f t="shared" si="13"/>
        <v>0</v>
      </c>
      <c r="AJ30" s="20">
        <f t="shared" si="13"/>
        <v>0</v>
      </c>
    </row>
    <row r="31" spans="2:36" x14ac:dyDescent="0.2">
      <c r="B31" s="9">
        <f>+'I1 General Inputs'!$B$20</f>
        <v>6</v>
      </c>
      <c r="C31" s="15" t="str">
        <f>+'I1 General Inputs'!$C$20</f>
        <v>Option 5B</v>
      </c>
      <c r="D31" s="28"/>
      <c r="E31" s="13" t="s">
        <v>35</v>
      </c>
      <c r="F31" s="25">
        <f t="shared" si="10"/>
        <v>-366322689.63767391</v>
      </c>
      <c r="G31" s="20">
        <f t="shared" si="11"/>
        <v>0</v>
      </c>
      <c r="H31" s="20">
        <f t="shared" si="11"/>
        <v>0</v>
      </c>
      <c r="I31" s="20">
        <f t="shared" si="11"/>
        <v>-341000000</v>
      </c>
      <c r="J31" s="20">
        <f t="shared" si="11"/>
        <v>-3410000</v>
      </c>
      <c r="K31" s="20">
        <f t="shared" si="11"/>
        <v>-3410000</v>
      </c>
      <c r="L31" s="20">
        <f t="shared" si="11"/>
        <v>-3410000</v>
      </c>
      <c r="M31" s="20">
        <f t="shared" si="11"/>
        <v>-3410000</v>
      </c>
      <c r="N31" s="20">
        <f t="shared" si="11"/>
        <v>-3410000</v>
      </c>
      <c r="O31" s="20">
        <f t="shared" si="11"/>
        <v>-3410000</v>
      </c>
      <c r="P31" s="20">
        <f t="shared" si="11"/>
        <v>-3410000</v>
      </c>
      <c r="Q31" s="20">
        <f t="shared" si="12"/>
        <v>-3410000</v>
      </c>
      <c r="R31" s="20">
        <f t="shared" si="12"/>
        <v>-3410000</v>
      </c>
      <c r="S31" s="20">
        <f t="shared" si="12"/>
        <v>-3410000</v>
      </c>
      <c r="T31" s="20">
        <f t="shared" si="12"/>
        <v>-3410000</v>
      </c>
      <c r="U31" s="20">
        <f t="shared" si="12"/>
        <v>-3410000</v>
      </c>
      <c r="V31" s="20">
        <f t="shared" si="12"/>
        <v>-3410000</v>
      </c>
      <c r="W31" s="20">
        <f t="shared" si="12"/>
        <v>-3410000</v>
      </c>
      <c r="X31" s="20">
        <f t="shared" si="12"/>
        <v>-123410000</v>
      </c>
      <c r="Y31" s="20">
        <f t="shared" si="12"/>
        <v>-1610000</v>
      </c>
      <c r="Z31" s="20">
        <f t="shared" si="12"/>
        <v>-1610000</v>
      </c>
      <c r="AA31" s="20">
        <f t="shared" si="13"/>
        <v>-1610000</v>
      </c>
      <c r="AB31" s="20">
        <f t="shared" si="13"/>
        <v>-1610000</v>
      </c>
      <c r="AC31" s="20">
        <f t="shared" si="13"/>
        <v>-1610000</v>
      </c>
      <c r="AD31" s="20">
        <f t="shared" si="13"/>
        <v>-1610000</v>
      </c>
      <c r="AE31" s="20">
        <f t="shared" si="13"/>
        <v>-1610000</v>
      </c>
      <c r="AF31" s="20">
        <f t="shared" si="13"/>
        <v>67710000</v>
      </c>
      <c r="AG31" s="20">
        <f t="shared" si="13"/>
        <v>0</v>
      </c>
      <c r="AH31" s="20">
        <f t="shared" si="13"/>
        <v>0</v>
      </c>
      <c r="AI31" s="20">
        <f t="shared" si="13"/>
        <v>0</v>
      </c>
      <c r="AJ31" s="20">
        <f t="shared" si="13"/>
        <v>0</v>
      </c>
    </row>
    <row r="33" spans="1:36" ht="21" x14ac:dyDescent="0.35">
      <c r="B33" s="6" t="s">
        <v>51</v>
      </c>
      <c r="C33" s="34"/>
      <c r="D33" s="34"/>
      <c r="E33" s="6"/>
      <c r="F33" s="194"/>
      <c r="G33" s="194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</row>
    <row r="35" spans="1:36" ht="15.75" x14ac:dyDescent="0.25">
      <c r="B35" s="5" t="s">
        <v>48</v>
      </c>
      <c r="C35" s="30"/>
      <c r="D35" s="30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</row>
    <row r="36" spans="1:36" ht="15.75" x14ac:dyDescent="0.25">
      <c r="B36" s="7" t="str">
        <f>+B7</f>
        <v>Number</v>
      </c>
      <c r="C36" s="11" t="str">
        <f>+C7</f>
        <v>Option name</v>
      </c>
      <c r="D36" s="11" t="s">
        <v>59</v>
      </c>
      <c r="E36" s="8" t="str">
        <f>+E7</f>
        <v>Units</v>
      </c>
      <c r="F36" s="8" t="s">
        <v>37</v>
      </c>
      <c r="G36" s="7">
        <f>G$7</f>
        <v>2020</v>
      </c>
      <c r="H36" s="7">
        <f t="shared" ref="H36:AJ36" si="14">H$7</f>
        <v>2021</v>
      </c>
      <c r="I36" s="7">
        <f t="shared" si="14"/>
        <v>2022</v>
      </c>
      <c r="J36" s="7">
        <f t="shared" si="14"/>
        <v>2023</v>
      </c>
      <c r="K36" s="7">
        <f t="shared" si="14"/>
        <v>2024</v>
      </c>
      <c r="L36" s="7">
        <f t="shared" si="14"/>
        <v>2025</v>
      </c>
      <c r="M36" s="7">
        <f t="shared" si="14"/>
        <v>2026</v>
      </c>
      <c r="N36" s="7">
        <f t="shared" si="14"/>
        <v>2027</v>
      </c>
      <c r="O36" s="7">
        <f t="shared" si="14"/>
        <v>2028</v>
      </c>
      <c r="P36" s="7">
        <f t="shared" si="14"/>
        <v>2029</v>
      </c>
      <c r="Q36" s="7">
        <f t="shared" si="14"/>
        <v>2030</v>
      </c>
      <c r="R36" s="7">
        <f t="shared" si="14"/>
        <v>2031</v>
      </c>
      <c r="S36" s="7">
        <f t="shared" si="14"/>
        <v>2032</v>
      </c>
      <c r="T36" s="7">
        <f t="shared" si="14"/>
        <v>2033</v>
      </c>
      <c r="U36" s="7">
        <f t="shared" si="14"/>
        <v>2034</v>
      </c>
      <c r="V36" s="7">
        <f t="shared" si="14"/>
        <v>2035</v>
      </c>
      <c r="W36" s="7">
        <f t="shared" si="14"/>
        <v>2036</v>
      </c>
      <c r="X36" s="7">
        <f t="shared" si="14"/>
        <v>2037</v>
      </c>
      <c r="Y36" s="7">
        <f t="shared" si="14"/>
        <v>2038</v>
      </c>
      <c r="Z36" s="7">
        <f t="shared" si="14"/>
        <v>2039</v>
      </c>
      <c r="AA36" s="7">
        <f t="shared" si="14"/>
        <v>2040</v>
      </c>
      <c r="AB36" s="7">
        <f t="shared" si="14"/>
        <v>2041</v>
      </c>
      <c r="AC36" s="7">
        <f t="shared" si="14"/>
        <v>2042</v>
      </c>
      <c r="AD36" s="7">
        <f t="shared" si="14"/>
        <v>2043</v>
      </c>
      <c r="AE36" s="7">
        <f t="shared" si="14"/>
        <v>2044</v>
      </c>
      <c r="AF36" s="7">
        <f t="shared" si="14"/>
        <v>2045</v>
      </c>
      <c r="AG36" s="7">
        <f t="shared" si="14"/>
        <v>0</v>
      </c>
      <c r="AH36" s="7">
        <f t="shared" si="14"/>
        <v>0</v>
      </c>
      <c r="AI36" s="7">
        <f t="shared" si="14"/>
        <v>0</v>
      </c>
      <c r="AJ36" s="7">
        <f t="shared" si="14"/>
        <v>0</v>
      </c>
    </row>
    <row r="37" spans="1:36" x14ac:dyDescent="0.2">
      <c r="A37" s="170"/>
      <c r="B37" s="26">
        <f>+'I2 CBA Inputs'!B15</f>
        <v>0</v>
      </c>
      <c r="C37" s="27" t="str">
        <f>+'I2 CBA Inputs'!C15</f>
        <v>Base case</v>
      </c>
      <c r="D37" s="27">
        <f>+'I2 CBA Inputs'!D15</f>
        <v>0</v>
      </c>
      <c r="E37" s="13" t="s">
        <v>35</v>
      </c>
      <c r="F37" s="19">
        <f t="shared" ref="F37:F48" si="15">NPV(DiscountRate,G37:AJ37)/(1+DiscountRate)^(FirstYear-BaseYear-2)</f>
        <v>0</v>
      </c>
      <c r="G37" s="18">
        <f>-IF(AND(G$36&gt;='I2 CBA Inputs'!$F15,G$36&lt;='I2 CBA Inputs'!$G15),'I2 CBA Inputs'!$E15/('I2 CBA Inputs'!$G15-'I2 CBA Inputs'!$F15+1),0)*IF(G$36=0,0,1)*'I2 CBA Inputs'!$A$8</f>
        <v>0</v>
      </c>
      <c r="H37" s="18">
        <f>-IF(AND(H$36&gt;='I2 CBA Inputs'!$F15,H$36&lt;='I2 CBA Inputs'!$G15),'I2 CBA Inputs'!$E15/('I2 CBA Inputs'!$G15-'I2 CBA Inputs'!$F15+1),0)*IF(H$36=0,0,1)*'I2 CBA Inputs'!$A$8</f>
        <v>0</v>
      </c>
      <c r="I37" s="18">
        <f>-IF(AND(I$36&gt;='I2 CBA Inputs'!$F15,I$36&lt;='I2 CBA Inputs'!$G15),'I2 CBA Inputs'!$E15/('I2 CBA Inputs'!$G15-'I2 CBA Inputs'!$F15+1),0)*IF(I$36=0,0,1)*'I2 CBA Inputs'!$A$8</f>
        <v>0</v>
      </c>
      <c r="J37" s="18">
        <f>-IF(AND(J$36&gt;='I2 CBA Inputs'!$F15,J$36&lt;='I2 CBA Inputs'!$G15),'I2 CBA Inputs'!$E15/('I2 CBA Inputs'!$G15-'I2 CBA Inputs'!$F15+1),0)*IF(J$36=0,0,1)*'I2 CBA Inputs'!$A$8</f>
        <v>0</v>
      </c>
      <c r="K37" s="18">
        <f>-IF(AND(K$36&gt;='I2 CBA Inputs'!$F15,K$36&lt;='I2 CBA Inputs'!$G15),'I2 CBA Inputs'!$E15/('I2 CBA Inputs'!$G15-'I2 CBA Inputs'!$F15+1),0)*IF(K$36=0,0,1)*'I2 CBA Inputs'!$A$8</f>
        <v>0</v>
      </c>
      <c r="L37" s="18">
        <f>-IF(AND(L$36&gt;='I2 CBA Inputs'!$F15,L$36&lt;='I2 CBA Inputs'!$G15),'I2 CBA Inputs'!$E15/('I2 CBA Inputs'!$G15-'I2 CBA Inputs'!$F15+1),0)*IF(L$36=0,0,1)*'I2 CBA Inputs'!$A$8</f>
        <v>0</v>
      </c>
      <c r="M37" s="18">
        <f>-IF(AND(M$36&gt;='I2 CBA Inputs'!$F15,M$36&lt;='I2 CBA Inputs'!$G15),'I2 CBA Inputs'!$E15/('I2 CBA Inputs'!$G15-'I2 CBA Inputs'!$F15+1),0)*IF(M$36=0,0,1)*'I2 CBA Inputs'!$A$8</f>
        <v>0</v>
      </c>
      <c r="N37" s="18">
        <f>-IF(AND(N$36&gt;='I2 CBA Inputs'!$F15,N$36&lt;='I2 CBA Inputs'!$G15),'I2 CBA Inputs'!$E15/('I2 CBA Inputs'!$G15-'I2 CBA Inputs'!$F15+1),0)*IF(N$36=0,0,1)*'I2 CBA Inputs'!$A$8</f>
        <v>0</v>
      </c>
      <c r="O37" s="18">
        <f>-IF(AND(O$36&gt;='I2 CBA Inputs'!$F15,O$36&lt;='I2 CBA Inputs'!$G15),'I2 CBA Inputs'!$E15/('I2 CBA Inputs'!$G15-'I2 CBA Inputs'!$F15+1),0)*IF(O$36=0,0,1)*'I2 CBA Inputs'!$A$8</f>
        <v>0</v>
      </c>
      <c r="P37" s="18">
        <f>-IF(AND(P$36&gt;='I2 CBA Inputs'!$F15,P$36&lt;='I2 CBA Inputs'!$G15),'I2 CBA Inputs'!$E15/('I2 CBA Inputs'!$G15-'I2 CBA Inputs'!$F15+1),0)*IF(P$36=0,0,1)*'I2 CBA Inputs'!$A$8</f>
        <v>0</v>
      </c>
      <c r="Q37" s="18">
        <f>-IF(AND(Q$36&gt;='I2 CBA Inputs'!$F15,Q$36&lt;='I2 CBA Inputs'!$G15),'I2 CBA Inputs'!$E15/('I2 CBA Inputs'!$G15-'I2 CBA Inputs'!$F15+1),0)*IF(Q$36=0,0,1)*'I2 CBA Inputs'!$A$8</f>
        <v>0</v>
      </c>
      <c r="R37" s="18">
        <f>-IF(AND(R$36&gt;='I2 CBA Inputs'!$F15,R$36&lt;='I2 CBA Inputs'!$G15),'I2 CBA Inputs'!$E15/('I2 CBA Inputs'!$G15-'I2 CBA Inputs'!$F15+1),0)*IF(R$36=0,0,1)*'I2 CBA Inputs'!$A$8</f>
        <v>0</v>
      </c>
      <c r="S37" s="18">
        <f>-IF(AND(S$36&gt;='I2 CBA Inputs'!$F15,S$36&lt;='I2 CBA Inputs'!$G15),'I2 CBA Inputs'!$E15/('I2 CBA Inputs'!$G15-'I2 CBA Inputs'!$F15+1),0)*IF(S$36=0,0,1)*'I2 CBA Inputs'!$A$8</f>
        <v>0</v>
      </c>
      <c r="T37" s="18">
        <f>-IF(AND(T$36&gt;='I2 CBA Inputs'!$F15,T$36&lt;='I2 CBA Inputs'!$G15),'I2 CBA Inputs'!$E15/('I2 CBA Inputs'!$G15-'I2 CBA Inputs'!$F15+1),0)*IF(T$36=0,0,1)*'I2 CBA Inputs'!$A$8</f>
        <v>0</v>
      </c>
      <c r="U37" s="18">
        <f>-IF(AND(U$36&gt;='I2 CBA Inputs'!$F15,U$36&lt;='I2 CBA Inputs'!$G15),'I2 CBA Inputs'!$E15/('I2 CBA Inputs'!$G15-'I2 CBA Inputs'!$F15+1),0)*IF(U$36=0,0,1)*'I2 CBA Inputs'!$A$8</f>
        <v>0</v>
      </c>
      <c r="V37" s="18">
        <f>-IF(AND(V$36&gt;='I2 CBA Inputs'!$F15,V$36&lt;='I2 CBA Inputs'!$G15),'I2 CBA Inputs'!$E15/('I2 CBA Inputs'!$G15-'I2 CBA Inputs'!$F15+1),0)*IF(V$36=0,0,1)*'I2 CBA Inputs'!$A$8</f>
        <v>0</v>
      </c>
      <c r="W37" s="18">
        <f>-IF(AND(W$36&gt;='I2 CBA Inputs'!$F15,W$36&lt;='I2 CBA Inputs'!$G15),'I2 CBA Inputs'!$E15/('I2 CBA Inputs'!$G15-'I2 CBA Inputs'!$F15+1),0)*IF(W$36=0,0,1)*'I2 CBA Inputs'!$A$8</f>
        <v>0</v>
      </c>
      <c r="X37" s="18">
        <f>-IF(AND(X$36&gt;='I2 CBA Inputs'!$F15,X$36&lt;='I2 CBA Inputs'!$G15),'I2 CBA Inputs'!$E15/('I2 CBA Inputs'!$G15-'I2 CBA Inputs'!$F15+1),0)*IF(X$36=0,0,1)*'I2 CBA Inputs'!$A$8</f>
        <v>0</v>
      </c>
      <c r="Y37" s="18">
        <f>-IF(AND(Y$36&gt;='I2 CBA Inputs'!$F15,Y$36&lt;='I2 CBA Inputs'!$G15),'I2 CBA Inputs'!$E15/('I2 CBA Inputs'!$G15-'I2 CBA Inputs'!$F15+1),0)*IF(Y$36=0,0,1)*'I2 CBA Inputs'!$A$8</f>
        <v>0</v>
      </c>
      <c r="Z37" s="18">
        <f>-IF(AND(Z$36&gt;='I2 CBA Inputs'!$F15,Z$36&lt;='I2 CBA Inputs'!$G15),'I2 CBA Inputs'!$E15/('I2 CBA Inputs'!$G15-'I2 CBA Inputs'!$F15+1),0)*IF(Z$36=0,0,1)*'I2 CBA Inputs'!$A$8</f>
        <v>0</v>
      </c>
      <c r="AA37" s="18">
        <f>-IF(AND(AA$36&gt;='I2 CBA Inputs'!$F15,AA$36&lt;='I2 CBA Inputs'!$G15),'I2 CBA Inputs'!$E15/('I2 CBA Inputs'!$G15-'I2 CBA Inputs'!$F15+1),0)*IF(AA$36=0,0,1)*'I2 CBA Inputs'!$A$8</f>
        <v>0</v>
      </c>
      <c r="AB37" s="18">
        <f>-IF(AND(AB$36&gt;='I2 CBA Inputs'!$F15,AB$36&lt;='I2 CBA Inputs'!$G15),'I2 CBA Inputs'!$E15/('I2 CBA Inputs'!$G15-'I2 CBA Inputs'!$F15+1),0)*IF(AB$36=0,0,1)*'I2 CBA Inputs'!$A$8</f>
        <v>0</v>
      </c>
      <c r="AC37" s="18">
        <f>-IF(AND(AC$36&gt;='I2 CBA Inputs'!$F15,AC$36&lt;='I2 CBA Inputs'!$G15),'I2 CBA Inputs'!$E15/('I2 CBA Inputs'!$G15-'I2 CBA Inputs'!$F15+1),0)*IF(AC$36=0,0,1)*'I2 CBA Inputs'!$A$8</f>
        <v>0</v>
      </c>
      <c r="AD37" s="18">
        <f>-IF(AND(AD$36&gt;='I2 CBA Inputs'!$F15,AD$36&lt;='I2 CBA Inputs'!$G15),'I2 CBA Inputs'!$E15/('I2 CBA Inputs'!$G15-'I2 CBA Inputs'!$F15+1),0)*IF(AD$36=0,0,1)*'I2 CBA Inputs'!$A$8</f>
        <v>0</v>
      </c>
      <c r="AE37" s="18">
        <f>-IF(AND(AE$36&gt;='I2 CBA Inputs'!$F15,AE$36&lt;='I2 CBA Inputs'!$G15),'I2 CBA Inputs'!$E15/('I2 CBA Inputs'!$G15-'I2 CBA Inputs'!$F15+1),0)*IF(AE$36=0,0,1)*'I2 CBA Inputs'!$A$8</f>
        <v>0</v>
      </c>
      <c r="AF37" s="18">
        <f>-IF(AND(AF$36&gt;='I2 CBA Inputs'!$F15,AF$36&lt;='I2 CBA Inputs'!$G15),'I2 CBA Inputs'!$E15/('I2 CBA Inputs'!$G15-'I2 CBA Inputs'!$F15+1),0)*IF(AF$36=0,0,1)*'I2 CBA Inputs'!$A$8</f>
        <v>0</v>
      </c>
      <c r="AG37" s="18">
        <f>-IF(AND(AG$36&gt;='I2 CBA Inputs'!$F15,AG$36&lt;='I2 CBA Inputs'!$G15),'I2 CBA Inputs'!$E15/('I2 CBA Inputs'!$G15-'I2 CBA Inputs'!$F15+1),0)*IF(AG$36=0,0,1)*'I2 CBA Inputs'!$A$8</f>
        <v>0</v>
      </c>
      <c r="AH37" s="18">
        <f>-IF(AND(AH$36&gt;='I2 CBA Inputs'!$F15,AH$36&lt;='I2 CBA Inputs'!$G15),'I2 CBA Inputs'!$E15/('I2 CBA Inputs'!$G15-'I2 CBA Inputs'!$F15+1),0)*IF(AH$36=0,0,1)*'I2 CBA Inputs'!$A$8</f>
        <v>0</v>
      </c>
      <c r="AI37" s="18">
        <f>-IF(AND(AI$36&gt;='I2 CBA Inputs'!$F15,AI$36&lt;='I2 CBA Inputs'!$G15),'I2 CBA Inputs'!$E15/('I2 CBA Inputs'!$G15-'I2 CBA Inputs'!$F15+1),0)*IF(AI$36=0,0,1)*'I2 CBA Inputs'!$A$8</f>
        <v>0</v>
      </c>
      <c r="AJ37" s="18">
        <f>-IF(AND(AJ$36&gt;='I2 CBA Inputs'!$F15,AJ$36&lt;='I2 CBA Inputs'!$G15),'I2 CBA Inputs'!$E15/('I2 CBA Inputs'!$G15-'I2 CBA Inputs'!$F15+1),0)*IF(AJ$36=0,0,1)*'I2 CBA Inputs'!$A$8</f>
        <v>0</v>
      </c>
    </row>
    <row r="38" spans="1:36" x14ac:dyDescent="0.2">
      <c r="A38" s="170"/>
      <c r="B38" s="26">
        <f>+'I2 CBA Inputs'!B16</f>
        <v>1</v>
      </c>
      <c r="C38" s="27" t="str">
        <f>+'I2 CBA Inputs'!C16</f>
        <v>Option 1A</v>
      </c>
      <c r="D38" s="27" t="str">
        <f>+'I2 CBA Inputs'!D16</f>
        <v>Substation</v>
      </c>
      <c r="E38" s="13" t="s">
        <v>35</v>
      </c>
      <c r="F38" s="19">
        <f t="shared" si="15"/>
        <v>-126261612.99210598</v>
      </c>
      <c r="G38" s="18">
        <f>-IF(AND(G$36&gt;='I2 CBA Inputs'!$F16,G$36&lt;='I2 CBA Inputs'!$G16),'I2 CBA Inputs'!$E16/('I2 CBA Inputs'!$G16-'I2 CBA Inputs'!$F16+1),0)*IF(G$36=0,0,1)*'I2 CBA Inputs'!$A$8</f>
        <v>0</v>
      </c>
      <c r="H38" s="18">
        <f>-IF(AND(H$36&gt;='I2 CBA Inputs'!$F16,H$36&lt;='I2 CBA Inputs'!$G16),'I2 CBA Inputs'!$E16/('I2 CBA Inputs'!$G16-'I2 CBA Inputs'!$F16+1),0)*IF(H$36=0,0,1)*'I2 CBA Inputs'!$A$8</f>
        <v>0</v>
      </c>
      <c r="I38" s="18">
        <f>-IF(AND(I$36&gt;='I2 CBA Inputs'!$F16,I$36&lt;='I2 CBA Inputs'!$G16),'I2 CBA Inputs'!$E16/('I2 CBA Inputs'!$G16-'I2 CBA Inputs'!$F16+1),0)*IF(I$36=0,0,1)*'I2 CBA Inputs'!$A$8</f>
        <v>-141600000</v>
      </c>
      <c r="J38" s="18">
        <f>-IF(AND(J$36&gt;='I2 CBA Inputs'!$F16,J$36&lt;='I2 CBA Inputs'!$G16),'I2 CBA Inputs'!$E16/('I2 CBA Inputs'!$G16-'I2 CBA Inputs'!$F16+1),0)*IF(J$36=0,0,1)*'I2 CBA Inputs'!$A$8</f>
        <v>0</v>
      </c>
      <c r="K38" s="18">
        <f>-IF(AND(K$36&gt;='I2 CBA Inputs'!$F16,K$36&lt;='I2 CBA Inputs'!$G16),'I2 CBA Inputs'!$E16/('I2 CBA Inputs'!$G16-'I2 CBA Inputs'!$F16+1),0)*IF(K$36=0,0,1)*'I2 CBA Inputs'!$A$8</f>
        <v>0</v>
      </c>
      <c r="L38" s="18">
        <f>-IF(AND(L$36&gt;='I2 CBA Inputs'!$F16,L$36&lt;='I2 CBA Inputs'!$G16),'I2 CBA Inputs'!$E16/('I2 CBA Inputs'!$G16-'I2 CBA Inputs'!$F16+1),0)*IF(L$36=0,0,1)*'I2 CBA Inputs'!$A$8</f>
        <v>0</v>
      </c>
      <c r="M38" s="18">
        <f>-IF(AND(M$36&gt;='I2 CBA Inputs'!$F16,M$36&lt;='I2 CBA Inputs'!$G16),'I2 CBA Inputs'!$E16/('I2 CBA Inputs'!$G16-'I2 CBA Inputs'!$F16+1),0)*IF(M$36=0,0,1)*'I2 CBA Inputs'!$A$8</f>
        <v>0</v>
      </c>
      <c r="N38" s="18">
        <f>-IF(AND(N$36&gt;='I2 CBA Inputs'!$F16,N$36&lt;='I2 CBA Inputs'!$G16),'I2 CBA Inputs'!$E16/('I2 CBA Inputs'!$G16-'I2 CBA Inputs'!$F16+1),0)*IF(N$36=0,0,1)*'I2 CBA Inputs'!$A$8</f>
        <v>0</v>
      </c>
      <c r="O38" s="18">
        <f>-IF(AND(O$36&gt;='I2 CBA Inputs'!$F16,O$36&lt;='I2 CBA Inputs'!$G16),'I2 CBA Inputs'!$E16/('I2 CBA Inputs'!$G16-'I2 CBA Inputs'!$F16+1),0)*IF(O$36=0,0,1)*'I2 CBA Inputs'!$A$8</f>
        <v>0</v>
      </c>
      <c r="P38" s="18">
        <f>-IF(AND(P$36&gt;='I2 CBA Inputs'!$F16,P$36&lt;='I2 CBA Inputs'!$G16),'I2 CBA Inputs'!$E16/('I2 CBA Inputs'!$G16-'I2 CBA Inputs'!$F16+1),0)*IF(P$36=0,0,1)*'I2 CBA Inputs'!$A$8</f>
        <v>0</v>
      </c>
      <c r="Q38" s="18">
        <f>-IF(AND(Q$36&gt;='I2 CBA Inputs'!$F16,Q$36&lt;='I2 CBA Inputs'!$G16),'I2 CBA Inputs'!$E16/('I2 CBA Inputs'!$G16-'I2 CBA Inputs'!$F16+1),0)*IF(Q$36=0,0,1)*'I2 CBA Inputs'!$A$8</f>
        <v>0</v>
      </c>
      <c r="R38" s="18">
        <f>-IF(AND(R$36&gt;='I2 CBA Inputs'!$F16,R$36&lt;='I2 CBA Inputs'!$G16),'I2 CBA Inputs'!$E16/('I2 CBA Inputs'!$G16-'I2 CBA Inputs'!$F16+1),0)*IF(R$36=0,0,1)*'I2 CBA Inputs'!$A$8</f>
        <v>0</v>
      </c>
      <c r="S38" s="18">
        <f>-IF(AND(S$36&gt;='I2 CBA Inputs'!$F16,S$36&lt;='I2 CBA Inputs'!$G16),'I2 CBA Inputs'!$E16/('I2 CBA Inputs'!$G16-'I2 CBA Inputs'!$F16+1),0)*IF(S$36=0,0,1)*'I2 CBA Inputs'!$A$8</f>
        <v>0</v>
      </c>
      <c r="T38" s="18">
        <f>-IF(AND(T$36&gt;='I2 CBA Inputs'!$F16,T$36&lt;='I2 CBA Inputs'!$G16),'I2 CBA Inputs'!$E16/('I2 CBA Inputs'!$G16-'I2 CBA Inputs'!$F16+1),0)*IF(T$36=0,0,1)*'I2 CBA Inputs'!$A$8</f>
        <v>0</v>
      </c>
      <c r="U38" s="18">
        <f>-IF(AND(U$36&gt;='I2 CBA Inputs'!$F16,U$36&lt;='I2 CBA Inputs'!$G16),'I2 CBA Inputs'!$E16/('I2 CBA Inputs'!$G16-'I2 CBA Inputs'!$F16+1),0)*IF(U$36=0,0,1)*'I2 CBA Inputs'!$A$8</f>
        <v>0</v>
      </c>
      <c r="V38" s="18">
        <f>-IF(AND(V$36&gt;='I2 CBA Inputs'!$F16,V$36&lt;='I2 CBA Inputs'!$G16),'I2 CBA Inputs'!$E16/('I2 CBA Inputs'!$G16-'I2 CBA Inputs'!$F16+1),0)*IF(V$36=0,0,1)*'I2 CBA Inputs'!$A$8</f>
        <v>0</v>
      </c>
      <c r="W38" s="18">
        <f>-IF(AND(W$36&gt;='I2 CBA Inputs'!$F16,W$36&lt;='I2 CBA Inputs'!$G16),'I2 CBA Inputs'!$E16/('I2 CBA Inputs'!$G16-'I2 CBA Inputs'!$F16+1),0)*IF(W$36=0,0,1)*'I2 CBA Inputs'!$A$8</f>
        <v>0</v>
      </c>
      <c r="X38" s="18">
        <f>-IF(AND(X$36&gt;='I2 CBA Inputs'!$F16,X$36&lt;='I2 CBA Inputs'!$G16),'I2 CBA Inputs'!$E16/('I2 CBA Inputs'!$G16-'I2 CBA Inputs'!$F16+1),0)*IF(X$36=0,0,1)*'I2 CBA Inputs'!$A$8</f>
        <v>0</v>
      </c>
      <c r="Y38" s="18">
        <f>-IF(AND(Y$36&gt;='I2 CBA Inputs'!$F16,Y$36&lt;='I2 CBA Inputs'!$G16),'I2 CBA Inputs'!$E16/('I2 CBA Inputs'!$G16-'I2 CBA Inputs'!$F16+1),0)*IF(Y$36=0,0,1)*'I2 CBA Inputs'!$A$8</f>
        <v>0</v>
      </c>
      <c r="Z38" s="18">
        <f>-IF(AND(Z$36&gt;='I2 CBA Inputs'!$F16,Z$36&lt;='I2 CBA Inputs'!$G16),'I2 CBA Inputs'!$E16/('I2 CBA Inputs'!$G16-'I2 CBA Inputs'!$F16+1),0)*IF(Z$36=0,0,1)*'I2 CBA Inputs'!$A$8</f>
        <v>0</v>
      </c>
      <c r="AA38" s="18">
        <f>-IF(AND(AA$36&gt;='I2 CBA Inputs'!$F16,AA$36&lt;='I2 CBA Inputs'!$G16),'I2 CBA Inputs'!$E16/('I2 CBA Inputs'!$G16-'I2 CBA Inputs'!$F16+1),0)*IF(AA$36=0,0,1)*'I2 CBA Inputs'!$A$8</f>
        <v>0</v>
      </c>
      <c r="AB38" s="18">
        <f>-IF(AND(AB$36&gt;='I2 CBA Inputs'!$F16,AB$36&lt;='I2 CBA Inputs'!$G16),'I2 CBA Inputs'!$E16/('I2 CBA Inputs'!$G16-'I2 CBA Inputs'!$F16+1),0)*IF(AB$36=0,0,1)*'I2 CBA Inputs'!$A$8</f>
        <v>0</v>
      </c>
      <c r="AC38" s="18">
        <f>-IF(AND(AC$36&gt;='I2 CBA Inputs'!$F16,AC$36&lt;='I2 CBA Inputs'!$G16),'I2 CBA Inputs'!$E16/('I2 CBA Inputs'!$G16-'I2 CBA Inputs'!$F16+1),0)*IF(AC$36=0,0,1)*'I2 CBA Inputs'!$A$8</f>
        <v>0</v>
      </c>
      <c r="AD38" s="18">
        <f>-IF(AND(AD$36&gt;='I2 CBA Inputs'!$F16,AD$36&lt;='I2 CBA Inputs'!$G16),'I2 CBA Inputs'!$E16/('I2 CBA Inputs'!$G16-'I2 CBA Inputs'!$F16+1),0)*IF(AD$36=0,0,1)*'I2 CBA Inputs'!$A$8</f>
        <v>0</v>
      </c>
      <c r="AE38" s="18">
        <f>-IF(AND(AE$36&gt;='I2 CBA Inputs'!$F16,AE$36&lt;='I2 CBA Inputs'!$G16),'I2 CBA Inputs'!$E16/('I2 CBA Inputs'!$G16-'I2 CBA Inputs'!$F16+1),0)*IF(AE$36=0,0,1)*'I2 CBA Inputs'!$A$8</f>
        <v>0</v>
      </c>
      <c r="AF38" s="18">
        <f>-IF(AND(AF$36&gt;='I2 CBA Inputs'!$F16,AF$36&lt;='I2 CBA Inputs'!$G16),'I2 CBA Inputs'!$E16/('I2 CBA Inputs'!$G16-'I2 CBA Inputs'!$F16+1),0)*IF(AF$36=0,0,1)*'I2 CBA Inputs'!$A$8</f>
        <v>0</v>
      </c>
      <c r="AG38" s="18">
        <f>-IF(AND(AG$36&gt;='I2 CBA Inputs'!$F16,AG$36&lt;='I2 CBA Inputs'!$G16),'I2 CBA Inputs'!$E16/('I2 CBA Inputs'!$G16-'I2 CBA Inputs'!$F16+1),0)*IF(AG$36=0,0,1)*'I2 CBA Inputs'!$A$8</f>
        <v>0</v>
      </c>
      <c r="AH38" s="18">
        <f>-IF(AND(AH$36&gt;='I2 CBA Inputs'!$F16,AH$36&lt;='I2 CBA Inputs'!$G16),'I2 CBA Inputs'!$E16/('I2 CBA Inputs'!$G16-'I2 CBA Inputs'!$F16+1),0)*IF(AH$36=0,0,1)*'I2 CBA Inputs'!$A$8</f>
        <v>0</v>
      </c>
      <c r="AI38" s="18">
        <f>-IF(AND(AI$36&gt;='I2 CBA Inputs'!$F16,AI$36&lt;='I2 CBA Inputs'!$G16),'I2 CBA Inputs'!$E16/('I2 CBA Inputs'!$G16-'I2 CBA Inputs'!$F16+1),0)*IF(AI$36=0,0,1)*'I2 CBA Inputs'!$A$8</f>
        <v>0</v>
      </c>
      <c r="AJ38" s="18">
        <f>-IF(AND(AJ$36&gt;='I2 CBA Inputs'!$F16,AJ$36&lt;='I2 CBA Inputs'!$G16),'I2 CBA Inputs'!$E16/('I2 CBA Inputs'!$G16-'I2 CBA Inputs'!$F16+1),0)*IF(AJ$36=0,0,1)*'I2 CBA Inputs'!$A$8</f>
        <v>0</v>
      </c>
    </row>
    <row r="39" spans="1:36" x14ac:dyDescent="0.2">
      <c r="A39" s="170"/>
      <c r="B39" s="26">
        <f>+'I2 CBA Inputs'!B17</f>
        <v>1</v>
      </c>
      <c r="C39" s="27" t="str">
        <f>+'I2 CBA Inputs'!C17</f>
        <v>Option 1A</v>
      </c>
      <c r="D39" s="27" t="str">
        <f>+'I2 CBA Inputs'!D17</f>
        <v>Lines</v>
      </c>
      <c r="E39" s="13" t="s">
        <v>35</v>
      </c>
      <c r="F39" s="19">
        <f t="shared" si="15"/>
        <v>-29871214.938104168</v>
      </c>
      <c r="G39" s="18">
        <f>-IF(AND(G$36&gt;='I2 CBA Inputs'!$F17,G$36&lt;='I2 CBA Inputs'!$G17),'I2 CBA Inputs'!$E17/('I2 CBA Inputs'!$G17-'I2 CBA Inputs'!$F17+1),0)*IF(G$36=0,0,1)*'I2 CBA Inputs'!$A$8</f>
        <v>0</v>
      </c>
      <c r="H39" s="18">
        <f>-IF(AND(H$36&gt;='I2 CBA Inputs'!$F17,H$36&lt;='I2 CBA Inputs'!$G17),'I2 CBA Inputs'!$E17/('I2 CBA Inputs'!$G17-'I2 CBA Inputs'!$F17+1),0)*IF(H$36=0,0,1)*'I2 CBA Inputs'!$A$8</f>
        <v>0</v>
      </c>
      <c r="I39" s="18">
        <f>-IF(AND(I$36&gt;='I2 CBA Inputs'!$F17,I$36&lt;='I2 CBA Inputs'!$G17),'I2 CBA Inputs'!$E17/('I2 CBA Inputs'!$G17-'I2 CBA Inputs'!$F17+1),0)*IF(I$36=0,0,1)*'I2 CBA Inputs'!$A$8</f>
        <v>-33500000</v>
      </c>
      <c r="J39" s="18">
        <f>-IF(AND(J$36&gt;='I2 CBA Inputs'!$F17,J$36&lt;='I2 CBA Inputs'!$G17),'I2 CBA Inputs'!$E17/('I2 CBA Inputs'!$G17-'I2 CBA Inputs'!$F17+1),0)*IF(J$36=0,0,1)*'I2 CBA Inputs'!$A$8</f>
        <v>0</v>
      </c>
      <c r="K39" s="18">
        <f>-IF(AND(K$36&gt;='I2 CBA Inputs'!$F17,K$36&lt;='I2 CBA Inputs'!$G17),'I2 CBA Inputs'!$E17/('I2 CBA Inputs'!$G17-'I2 CBA Inputs'!$F17+1),0)*IF(K$36=0,0,1)*'I2 CBA Inputs'!$A$8</f>
        <v>0</v>
      </c>
      <c r="L39" s="18">
        <f>-IF(AND(L$36&gt;='I2 CBA Inputs'!$F17,L$36&lt;='I2 CBA Inputs'!$G17),'I2 CBA Inputs'!$E17/('I2 CBA Inputs'!$G17-'I2 CBA Inputs'!$F17+1),0)*IF(L$36=0,0,1)*'I2 CBA Inputs'!$A$8</f>
        <v>0</v>
      </c>
      <c r="M39" s="18">
        <f>-IF(AND(M$36&gt;='I2 CBA Inputs'!$F17,M$36&lt;='I2 CBA Inputs'!$G17),'I2 CBA Inputs'!$E17/('I2 CBA Inputs'!$G17-'I2 CBA Inputs'!$F17+1),0)*IF(M$36=0,0,1)*'I2 CBA Inputs'!$A$8</f>
        <v>0</v>
      </c>
      <c r="N39" s="18">
        <f>-IF(AND(N$36&gt;='I2 CBA Inputs'!$F17,N$36&lt;='I2 CBA Inputs'!$G17),'I2 CBA Inputs'!$E17/('I2 CBA Inputs'!$G17-'I2 CBA Inputs'!$F17+1),0)*IF(N$36=0,0,1)*'I2 CBA Inputs'!$A$8</f>
        <v>0</v>
      </c>
      <c r="O39" s="18">
        <f>-IF(AND(O$36&gt;='I2 CBA Inputs'!$F17,O$36&lt;='I2 CBA Inputs'!$G17),'I2 CBA Inputs'!$E17/('I2 CBA Inputs'!$G17-'I2 CBA Inputs'!$F17+1),0)*IF(O$36=0,0,1)*'I2 CBA Inputs'!$A$8</f>
        <v>0</v>
      </c>
      <c r="P39" s="18">
        <f>-IF(AND(P$36&gt;='I2 CBA Inputs'!$F17,P$36&lt;='I2 CBA Inputs'!$G17),'I2 CBA Inputs'!$E17/('I2 CBA Inputs'!$G17-'I2 CBA Inputs'!$F17+1),0)*IF(P$36=0,0,1)*'I2 CBA Inputs'!$A$8</f>
        <v>0</v>
      </c>
      <c r="Q39" s="18">
        <f>-IF(AND(Q$36&gt;='I2 CBA Inputs'!$F17,Q$36&lt;='I2 CBA Inputs'!$G17),'I2 CBA Inputs'!$E17/('I2 CBA Inputs'!$G17-'I2 CBA Inputs'!$F17+1),0)*IF(Q$36=0,0,1)*'I2 CBA Inputs'!$A$8</f>
        <v>0</v>
      </c>
      <c r="R39" s="18">
        <f>-IF(AND(R$36&gt;='I2 CBA Inputs'!$F17,R$36&lt;='I2 CBA Inputs'!$G17),'I2 CBA Inputs'!$E17/('I2 CBA Inputs'!$G17-'I2 CBA Inputs'!$F17+1),0)*IF(R$36=0,0,1)*'I2 CBA Inputs'!$A$8</f>
        <v>0</v>
      </c>
      <c r="S39" s="18">
        <f>-IF(AND(S$36&gt;='I2 CBA Inputs'!$F17,S$36&lt;='I2 CBA Inputs'!$G17),'I2 CBA Inputs'!$E17/('I2 CBA Inputs'!$G17-'I2 CBA Inputs'!$F17+1),0)*IF(S$36=0,0,1)*'I2 CBA Inputs'!$A$8</f>
        <v>0</v>
      </c>
      <c r="T39" s="18">
        <f>-IF(AND(T$36&gt;='I2 CBA Inputs'!$F17,T$36&lt;='I2 CBA Inputs'!$G17),'I2 CBA Inputs'!$E17/('I2 CBA Inputs'!$G17-'I2 CBA Inputs'!$F17+1),0)*IF(T$36=0,0,1)*'I2 CBA Inputs'!$A$8</f>
        <v>0</v>
      </c>
      <c r="U39" s="18">
        <f>-IF(AND(U$36&gt;='I2 CBA Inputs'!$F17,U$36&lt;='I2 CBA Inputs'!$G17),'I2 CBA Inputs'!$E17/('I2 CBA Inputs'!$G17-'I2 CBA Inputs'!$F17+1),0)*IF(U$36=0,0,1)*'I2 CBA Inputs'!$A$8</f>
        <v>0</v>
      </c>
      <c r="V39" s="18">
        <f>-IF(AND(V$36&gt;='I2 CBA Inputs'!$F17,V$36&lt;='I2 CBA Inputs'!$G17),'I2 CBA Inputs'!$E17/('I2 CBA Inputs'!$G17-'I2 CBA Inputs'!$F17+1),0)*IF(V$36=0,0,1)*'I2 CBA Inputs'!$A$8</f>
        <v>0</v>
      </c>
      <c r="W39" s="18">
        <f>-IF(AND(W$36&gt;='I2 CBA Inputs'!$F17,W$36&lt;='I2 CBA Inputs'!$G17),'I2 CBA Inputs'!$E17/('I2 CBA Inputs'!$G17-'I2 CBA Inputs'!$F17+1),0)*IF(W$36=0,0,1)*'I2 CBA Inputs'!$A$8</f>
        <v>0</v>
      </c>
      <c r="X39" s="18">
        <f>-IF(AND(X$36&gt;='I2 CBA Inputs'!$F17,X$36&lt;='I2 CBA Inputs'!$G17),'I2 CBA Inputs'!$E17/('I2 CBA Inputs'!$G17-'I2 CBA Inputs'!$F17+1),0)*IF(X$36=0,0,1)*'I2 CBA Inputs'!$A$8</f>
        <v>0</v>
      </c>
      <c r="Y39" s="18">
        <f>-IF(AND(Y$36&gt;='I2 CBA Inputs'!$F17,Y$36&lt;='I2 CBA Inputs'!$G17),'I2 CBA Inputs'!$E17/('I2 CBA Inputs'!$G17-'I2 CBA Inputs'!$F17+1),0)*IF(Y$36=0,0,1)*'I2 CBA Inputs'!$A$8</f>
        <v>0</v>
      </c>
      <c r="Z39" s="18">
        <f>-IF(AND(Z$36&gt;='I2 CBA Inputs'!$F17,Z$36&lt;='I2 CBA Inputs'!$G17),'I2 CBA Inputs'!$E17/('I2 CBA Inputs'!$G17-'I2 CBA Inputs'!$F17+1),0)*IF(Z$36=0,0,1)*'I2 CBA Inputs'!$A$8</f>
        <v>0</v>
      </c>
      <c r="AA39" s="18">
        <f>-IF(AND(AA$36&gt;='I2 CBA Inputs'!$F17,AA$36&lt;='I2 CBA Inputs'!$G17),'I2 CBA Inputs'!$E17/('I2 CBA Inputs'!$G17-'I2 CBA Inputs'!$F17+1),0)*IF(AA$36=0,0,1)*'I2 CBA Inputs'!$A$8</f>
        <v>0</v>
      </c>
      <c r="AB39" s="18">
        <f>-IF(AND(AB$36&gt;='I2 CBA Inputs'!$F17,AB$36&lt;='I2 CBA Inputs'!$G17),'I2 CBA Inputs'!$E17/('I2 CBA Inputs'!$G17-'I2 CBA Inputs'!$F17+1),0)*IF(AB$36=0,0,1)*'I2 CBA Inputs'!$A$8</f>
        <v>0</v>
      </c>
      <c r="AC39" s="18">
        <f>-IF(AND(AC$36&gt;='I2 CBA Inputs'!$F17,AC$36&lt;='I2 CBA Inputs'!$G17),'I2 CBA Inputs'!$E17/('I2 CBA Inputs'!$G17-'I2 CBA Inputs'!$F17+1),0)*IF(AC$36=0,0,1)*'I2 CBA Inputs'!$A$8</f>
        <v>0</v>
      </c>
      <c r="AD39" s="18">
        <f>-IF(AND(AD$36&gt;='I2 CBA Inputs'!$F17,AD$36&lt;='I2 CBA Inputs'!$G17),'I2 CBA Inputs'!$E17/('I2 CBA Inputs'!$G17-'I2 CBA Inputs'!$F17+1),0)*IF(AD$36=0,0,1)*'I2 CBA Inputs'!$A$8</f>
        <v>0</v>
      </c>
      <c r="AE39" s="18">
        <f>-IF(AND(AE$36&gt;='I2 CBA Inputs'!$F17,AE$36&lt;='I2 CBA Inputs'!$G17),'I2 CBA Inputs'!$E17/('I2 CBA Inputs'!$G17-'I2 CBA Inputs'!$F17+1),0)*IF(AE$36=0,0,1)*'I2 CBA Inputs'!$A$8</f>
        <v>0</v>
      </c>
      <c r="AF39" s="18">
        <f>-IF(AND(AF$36&gt;='I2 CBA Inputs'!$F17,AF$36&lt;='I2 CBA Inputs'!$G17),'I2 CBA Inputs'!$E17/('I2 CBA Inputs'!$G17-'I2 CBA Inputs'!$F17+1),0)*IF(AF$36=0,0,1)*'I2 CBA Inputs'!$A$8</f>
        <v>0</v>
      </c>
      <c r="AG39" s="18">
        <f>-IF(AND(AG$36&gt;='I2 CBA Inputs'!$F17,AG$36&lt;='I2 CBA Inputs'!$G17),'I2 CBA Inputs'!$E17/('I2 CBA Inputs'!$G17-'I2 CBA Inputs'!$F17+1),0)*IF(AG$36=0,0,1)*'I2 CBA Inputs'!$A$8</f>
        <v>0</v>
      </c>
      <c r="AH39" s="18">
        <f>-IF(AND(AH$36&gt;='I2 CBA Inputs'!$F17,AH$36&lt;='I2 CBA Inputs'!$G17),'I2 CBA Inputs'!$E17/('I2 CBA Inputs'!$G17-'I2 CBA Inputs'!$F17+1),0)*IF(AH$36=0,0,1)*'I2 CBA Inputs'!$A$8</f>
        <v>0</v>
      </c>
      <c r="AI39" s="18">
        <f>-IF(AND(AI$36&gt;='I2 CBA Inputs'!$F17,AI$36&lt;='I2 CBA Inputs'!$G17),'I2 CBA Inputs'!$E17/('I2 CBA Inputs'!$G17-'I2 CBA Inputs'!$F17+1),0)*IF(AI$36=0,0,1)*'I2 CBA Inputs'!$A$8</f>
        <v>0</v>
      </c>
      <c r="AJ39" s="18">
        <f>-IF(AND(AJ$36&gt;='I2 CBA Inputs'!$F17,AJ$36&lt;='I2 CBA Inputs'!$G17),'I2 CBA Inputs'!$E17/('I2 CBA Inputs'!$G17-'I2 CBA Inputs'!$F17+1),0)*IF(AJ$36=0,0,1)*'I2 CBA Inputs'!$A$8</f>
        <v>0</v>
      </c>
    </row>
    <row r="40" spans="1:36" x14ac:dyDescent="0.2">
      <c r="A40" s="170"/>
      <c r="B40" s="26">
        <f>+'I2 CBA Inputs'!B18</f>
        <v>2</v>
      </c>
      <c r="C40" s="27" t="str">
        <f>+'I2 CBA Inputs'!C18</f>
        <v>Option 1B</v>
      </c>
      <c r="D40" s="27" t="str">
        <f>+'I2 CBA Inputs'!D18</f>
        <v>Lines</v>
      </c>
      <c r="E40" s="13" t="s">
        <v>35</v>
      </c>
      <c r="F40" s="19">
        <f t="shared" si="15"/>
        <v>-29871214.938104168</v>
      </c>
      <c r="G40" s="18">
        <f>-IF(AND(G$36&gt;='I2 CBA Inputs'!$F18,G$36&lt;='I2 CBA Inputs'!$G18),'I2 CBA Inputs'!$E18/('I2 CBA Inputs'!$G18-'I2 CBA Inputs'!$F18+1),0)*IF(G$36=0,0,1)*'I2 CBA Inputs'!$A$8</f>
        <v>0</v>
      </c>
      <c r="H40" s="18">
        <f>-IF(AND(H$36&gt;='I2 CBA Inputs'!$F18,H$36&lt;='I2 CBA Inputs'!$G18),'I2 CBA Inputs'!$E18/('I2 CBA Inputs'!$G18-'I2 CBA Inputs'!$F18+1),0)*IF(H$36=0,0,1)*'I2 CBA Inputs'!$A$8</f>
        <v>0</v>
      </c>
      <c r="I40" s="18">
        <f>-IF(AND(I$36&gt;='I2 CBA Inputs'!$F18,I$36&lt;='I2 CBA Inputs'!$G18),'I2 CBA Inputs'!$E18/('I2 CBA Inputs'!$G18-'I2 CBA Inputs'!$F18+1),0)*IF(I$36=0,0,1)*'I2 CBA Inputs'!$A$8</f>
        <v>-33500000</v>
      </c>
      <c r="J40" s="18">
        <f>-IF(AND(J$36&gt;='I2 CBA Inputs'!$F18,J$36&lt;='I2 CBA Inputs'!$G18),'I2 CBA Inputs'!$E18/('I2 CBA Inputs'!$G18-'I2 CBA Inputs'!$F18+1),0)*IF(J$36=0,0,1)*'I2 CBA Inputs'!$A$8</f>
        <v>0</v>
      </c>
      <c r="K40" s="18">
        <f>-IF(AND(K$36&gt;='I2 CBA Inputs'!$F18,K$36&lt;='I2 CBA Inputs'!$G18),'I2 CBA Inputs'!$E18/('I2 CBA Inputs'!$G18-'I2 CBA Inputs'!$F18+1),0)*IF(K$36=0,0,1)*'I2 CBA Inputs'!$A$8</f>
        <v>0</v>
      </c>
      <c r="L40" s="18">
        <f>-IF(AND(L$36&gt;='I2 CBA Inputs'!$F18,L$36&lt;='I2 CBA Inputs'!$G18),'I2 CBA Inputs'!$E18/('I2 CBA Inputs'!$G18-'I2 CBA Inputs'!$F18+1),0)*IF(L$36=0,0,1)*'I2 CBA Inputs'!$A$8</f>
        <v>0</v>
      </c>
      <c r="M40" s="18">
        <f>-IF(AND(M$36&gt;='I2 CBA Inputs'!$F18,M$36&lt;='I2 CBA Inputs'!$G18),'I2 CBA Inputs'!$E18/('I2 CBA Inputs'!$G18-'I2 CBA Inputs'!$F18+1),0)*IF(M$36=0,0,1)*'I2 CBA Inputs'!$A$8</f>
        <v>0</v>
      </c>
      <c r="N40" s="18">
        <f>-IF(AND(N$36&gt;='I2 CBA Inputs'!$F18,N$36&lt;='I2 CBA Inputs'!$G18),'I2 CBA Inputs'!$E18/('I2 CBA Inputs'!$G18-'I2 CBA Inputs'!$F18+1),0)*IF(N$36=0,0,1)*'I2 CBA Inputs'!$A$8</f>
        <v>0</v>
      </c>
      <c r="O40" s="18">
        <f>-IF(AND(O$36&gt;='I2 CBA Inputs'!$F18,O$36&lt;='I2 CBA Inputs'!$G18),'I2 CBA Inputs'!$E18/('I2 CBA Inputs'!$G18-'I2 CBA Inputs'!$F18+1),0)*IF(O$36=0,0,1)*'I2 CBA Inputs'!$A$8</f>
        <v>0</v>
      </c>
      <c r="P40" s="18">
        <f>-IF(AND(P$36&gt;='I2 CBA Inputs'!$F18,P$36&lt;='I2 CBA Inputs'!$G18),'I2 CBA Inputs'!$E18/('I2 CBA Inputs'!$G18-'I2 CBA Inputs'!$F18+1),0)*IF(P$36=0,0,1)*'I2 CBA Inputs'!$A$8</f>
        <v>0</v>
      </c>
      <c r="Q40" s="18">
        <f>-IF(AND(Q$36&gt;='I2 CBA Inputs'!$F18,Q$36&lt;='I2 CBA Inputs'!$G18),'I2 CBA Inputs'!$E18/('I2 CBA Inputs'!$G18-'I2 CBA Inputs'!$F18+1),0)*IF(Q$36=0,0,1)*'I2 CBA Inputs'!$A$8</f>
        <v>0</v>
      </c>
      <c r="R40" s="18">
        <f>-IF(AND(R$36&gt;='I2 CBA Inputs'!$F18,R$36&lt;='I2 CBA Inputs'!$G18),'I2 CBA Inputs'!$E18/('I2 CBA Inputs'!$G18-'I2 CBA Inputs'!$F18+1),0)*IF(R$36=0,0,1)*'I2 CBA Inputs'!$A$8</f>
        <v>0</v>
      </c>
      <c r="S40" s="18">
        <f>-IF(AND(S$36&gt;='I2 CBA Inputs'!$F18,S$36&lt;='I2 CBA Inputs'!$G18),'I2 CBA Inputs'!$E18/('I2 CBA Inputs'!$G18-'I2 CBA Inputs'!$F18+1),0)*IF(S$36=0,0,1)*'I2 CBA Inputs'!$A$8</f>
        <v>0</v>
      </c>
      <c r="T40" s="18">
        <f>-IF(AND(T$36&gt;='I2 CBA Inputs'!$F18,T$36&lt;='I2 CBA Inputs'!$G18),'I2 CBA Inputs'!$E18/('I2 CBA Inputs'!$G18-'I2 CBA Inputs'!$F18+1),0)*IF(T$36=0,0,1)*'I2 CBA Inputs'!$A$8</f>
        <v>0</v>
      </c>
      <c r="U40" s="18">
        <f>-IF(AND(U$36&gt;='I2 CBA Inputs'!$F18,U$36&lt;='I2 CBA Inputs'!$G18),'I2 CBA Inputs'!$E18/('I2 CBA Inputs'!$G18-'I2 CBA Inputs'!$F18+1),0)*IF(U$36=0,0,1)*'I2 CBA Inputs'!$A$8</f>
        <v>0</v>
      </c>
      <c r="V40" s="18">
        <f>-IF(AND(V$36&gt;='I2 CBA Inputs'!$F18,V$36&lt;='I2 CBA Inputs'!$G18),'I2 CBA Inputs'!$E18/('I2 CBA Inputs'!$G18-'I2 CBA Inputs'!$F18+1),0)*IF(V$36=0,0,1)*'I2 CBA Inputs'!$A$8</f>
        <v>0</v>
      </c>
      <c r="W40" s="18">
        <f>-IF(AND(W$36&gt;='I2 CBA Inputs'!$F18,W$36&lt;='I2 CBA Inputs'!$G18),'I2 CBA Inputs'!$E18/('I2 CBA Inputs'!$G18-'I2 CBA Inputs'!$F18+1),0)*IF(W$36=0,0,1)*'I2 CBA Inputs'!$A$8</f>
        <v>0</v>
      </c>
      <c r="X40" s="18">
        <f>-IF(AND(X$36&gt;='I2 CBA Inputs'!$F18,X$36&lt;='I2 CBA Inputs'!$G18),'I2 CBA Inputs'!$E18/('I2 CBA Inputs'!$G18-'I2 CBA Inputs'!$F18+1),0)*IF(X$36=0,0,1)*'I2 CBA Inputs'!$A$8</f>
        <v>0</v>
      </c>
      <c r="Y40" s="18">
        <f>-IF(AND(Y$36&gt;='I2 CBA Inputs'!$F18,Y$36&lt;='I2 CBA Inputs'!$G18),'I2 CBA Inputs'!$E18/('I2 CBA Inputs'!$G18-'I2 CBA Inputs'!$F18+1),0)*IF(Y$36=0,0,1)*'I2 CBA Inputs'!$A$8</f>
        <v>0</v>
      </c>
      <c r="Z40" s="18">
        <f>-IF(AND(Z$36&gt;='I2 CBA Inputs'!$F18,Z$36&lt;='I2 CBA Inputs'!$G18),'I2 CBA Inputs'!$E18/('I2 CBA Inputs'!$G18-'I2 CBA Inputs'!$F18+1),0)*IF(Z$36=0,0,1)*'I2 CBA Inputs'!$A$8</f>
        <v>0</v>
      </c>
      <c r="AA40" s="18">
        <f>-IF(AND(AA$36&gt;='I2 CBA Inputs'!$F18,AA$36&lt;='I2 CBA Inputs'!$G18),'I2 CBA Inputs'!$E18/('I2 CBA Inputs'!$G18-'I2 CBA Inputs'!$F18+1),0)*IF(AA$36=0,0,1)*'I2 CBA Inputs'!$A$8</f>
        <v>0</v>
      </c>
      <c r="AB40" s="18">
        <f>-IF(AND(AB$36&gt;='I2 CBA Inputs'!$F18,AB$36&lt;='I2 CBA Inputs'!$G18),'I2 CBA Inputs'!$E18/('I2 CBA Inputs'!$G18-'I2 CBA Inputs'!$F18+1),0)*IF(AB$36=0,0,1)*'I2 CBA Inputs'!$A$8</f>
        <v>0</v>
      </c>
      <c r="AC40" s="18">
        <f>-IF(AND(AC$36&gt;='I2 CBA Inputs'!$F18,AC$36&lt;='I2 CBA Inputs'!$G18),'I2 CBA Inputs'!$E18/('I2 CBA Inputs'!$G18-'I2 CBA Inputs'!$F18+1),0)*IF(AC$36=0,0,1)*'I2 CBA Inputs'!$A$8</f>
        <v>0</v>
      </c>
      <c r="AD40" s="18">
        <f>-IF(AND(AD$36&gt;='I2 CBA Inputs'!$F18,AD$36&lt;='I2 CBA Inputs'!$G18),'I2 CBA Inputs'!$E18/('I2 CBA Inputs'!$G18-'I2 CBA Inputs'!$F18+1),0)*IF(AD$36=0,0,1)*'I2 CBA Inputs'!$A$8</f>
        <v>0</v>
      </c>
      <c r="AE40" s="18">
        <f>-IF(AND(AE$36&gt;='I2 CBA Inputs'!$F18,AE$36&lt;='I2 CBA Inputs'!$G18),'I2 CBA Inputs'!$E18/('I2 CBA Inputs'!$G18-'I2 CBA Inputs'!$F18+1),0)*IF(AE$36=0,0,1)*'I2 CBA Inputs'!$A$8</f>
        <v>0</v>
      </c>
      <c r="AF40" s="18">
        <f>-IF(AND(AF$36&gt;='I2 CBA Inputs'!$F18,AF$36&lt;='I2 CBA Inputs'!$G18),'I2 CBA Inputs'!$E18/('I2 CBA Inputs'!$G18-'I2 CBA Inputs'!$F18+1),0)*IF(AF$36=0,0,1)*'I2 CBA Inputs'!$A$8</f>
        <v>0</v>
      </c>
      <c r="AG40" s="18">
        <f>-IF(AND(AG$36&gt;='I2 CBA Inputs'!$F18,AG$36&lt;='I2 CBA Inputs'!$G18),'I2 CBA Inputs'!$E18/('I2 CBA Inputs'!$G18-'I2 CBA Inputs'!$F18+1),0)*IF(AG$36=0,0,1)*'I2 CBA Inputs'!$A$8</f>
        <v>0</v>
      </c>
      <c r="AH40" s="18">
        <f>-IF(AND(AH$36&gt;='I2 CBA Inputs'!$F18,AH$36&lt;='I2 CBA Inputs'!$G18),'I2 CBA Inputs'!$E18/('I2 CBA Inputs'!$G18-'I2 CBA Inputs'!$F18+1),0)*IF(AH$36=0,0,1)*'I2 CBA Inputs'!$A$8</f>
        <v>0</v>
      </c>
      <c r="AI40" s="18">
        <f>-IF(AND(AI$36&gt;='I2 CBA Inputs'!$F18,AI$36&lt;='I2 CBA Inputs'!$G18),'I2 CBA Inputs'!$E18/('I2 CBA Inputs'!$G18-'I2 CBA Inputs'!$F18+1),0)*IF(AI$36=0,0,1)*'I2 CBA Inputs'!$A$8</f>
        <v>0</v>
      </c>
      <c r="AJ40" s="18">
        <f>-IF(AND(AJ$36&gt;='I2 CBA Inputs'!$F18,AJ$36&lt;='I2 CBA Inputs'!$G18),'I2 CBA Inputs'!$E18/('I2 CBA Inputs'!$G18-'I2 CBA Inputs'!$F18+1),0)*IF(AJ$36=0,0,1)*'I2 CBA Inputs'!$A$8</f>
        <v>0</v>
      </c>
    </row>
    <row r="41" spans="1:36" x14ac:dyDescent="0.2">
      <c r="A41" s="170"/>
      <c r="B41" s="26">
        <f>+'I2 CBA Inputs'!B19</f>
        <v>3</v>
      </c>
      <c r="C41" s="27" t="str">
        <f>+'I2 CBA Inputs'!C19</f>
        <v>Option 1C</v>
      </c>
      <c r="D41" s="27" t="str">
        <f>+'I2 CBA Inputs'!D19</f>
        <v>Substation</v>
      </c>
      <c r="E41" s="13" t="s">
        <v>35</v>
      </c>
      <c r="F41" s="19">
        <f t="shared" si="15"/>
        <v>-126261612.99210598</v>
      </c>
      <c r="G41" s="18">
        <f>-IF(AND(G$36&gt;='I2 CBA Inputs'!$F19,G$36&lt;='I2 CBA Inputs'!$G19),'I2 CBA Inputs'!$E19/('I2 CBA Inputs'!$G19-'I2 CBA Inputs'!$F19+1),0)*IF(G$36=0,0,1)*'I2 CBA Inputs'!$A$8</f>
        <v>0</v>
      </c>
      <c r="H41" s="18">
        <f>-IF(AND(H$36&gt;='I2 CBA Inputs'!$F19,H$36&lt;='I2 CBA Inputs'!$G19),'I2 CBA Inputs'!$E19/('I2 CBA Inputs'!$G19-'I2 CBA Inputs'!$F19+1),0)*IF(H$36=0,0,1)*'I2 CBA Inputs'!$A$8</f>
        <v>0</v>
      </c>
      <c r="I41" s="18">
        <f>-IF(AND(I$36&gt;='I2 CBA Inputs'!$F19,I$36&lt;='I2 CBA Inputs'!$G19),'I2 CBA Inputs'!$E19/('I2 CBA Inputs'!$G19-'I2 CBA Inputs'!$F19+1),0)*IF(I$36=0,0,1)*'I2 CBA Inputs'!$A$8</f>
        <v>-141600000</v>
      </c>
      <c r="J41" s="18">
        <f>-IF(AND(J$36&gt;='I2 CBA Inputs'!$F19,J$36&lt;='I2 CBA Inputs'!$G19),'I2 CBA Inputs'!$E19/('I2 CBA Inputs'!$G19-'I2 CBA Inputs'!$F19+1),0)*IF(J$36=0,0,1)*'I2 CBA Inputs'!$A$8</f>
        <v>0</v>
      </c>
      <c r="K41" s="18">
        <f>-IF(AND(K$36&gt;='I2 CBA Inputs'!$F19,K$36&lt;='I2 CBA Inputs'!$G19),'I2 CBA Inputs'!$E19/('I2 CBA Inputs'!$G19-'I2 CBA Inputs'!$F19+1),0)*IF(K$36=0,0,1)*'I2 CBA Inputs'!$A$8</f>
        <v>0</v>
      </c>
      <c r="L41" s="18">
        <f>-IF(AND(L$36&gt;='I2 CBA Inputs'!$F19,L$36&lt;='I2 CBA Inputs'!$G19),'I2 CBA Inputs'!$E19/('I2 CBA Inputs'!$G19-'I2 CBA Inputs'!$F19+1),0)*IF(L$36=0,0,1)*'I2 CBA Inputs'!$A$8</f>
        <v>0</v>
      </c>
      <c r="M41" s="18">
        <f>-IF(AND(M$36&gt;='I2 CBA Inputs'!$F19,M$36&lt;='I2 CBA Inputs'!$G19),'I2 CBA Inputs'!$E19/('I2 CBA Inputs'!$G19-'I2 CBA Inputs'!$F19+1),0)*IF(M$36=0,0,1)*'I2 CBA Inputs'!$A$8</f>
        <v>0</v>
      </c>
      <c r="N41" s="18">
        <f>-IF(AND(N$36&gt;='I2 CBA Inputs'!$F19,N$36&lt;='I2 CBA Inputs'!$G19),'I2 CBA Inputs'!$E19/('I2 CBA Inputs'!$G19-'I2 CBA Inputs'!$F19+1),0)*IF(N$36=0,0,1)*'I2 CBA Inputs'!$A$8</f>
        <v>0</v>
      </c>
      <c r="O41" s="18">
        <f>-IF(AND(O$36&gt;='I2 CBA Inputs'!$F19,O$36&lt;='I2 CBA Inputs'!$G19),'I2 CBA Inputs'!$E19/('I2 CBA Inputs'!$G19-'I2 CBA Inputs'!$F19+1),0)*IF(O$36=0,0,1)*'I2 CBA Inputs'!$A$8</f>
        <v>0</v>
      </c>
      <c r="P41" s="18">
        <f>-IF(AND(P$36&gt;='I2 CBA Inputs'!$F19,P$36&lt;='I2 CBA Inputs'!$G19),'I2 CBA Inputs'!$E19/('I2 CBA Inputs'!$G19-'I2 CBA Inputs'!$F19+1),0)*IF(P$36=0,0,1)*'I2 CBA Inputs'!$A$8</f>
        <v>0</v>
      </c>
      <c r="Q41" s="18">
        <f>-IF(AND(Q$36&gt;='I2 CBA Inputs'!$F19,Q$36&lt;='I2 CBA Inputs'!$G19),'I2 CBA Inputs'!$E19/('I2 CBA Inputs'!$G19-'I2 CBA Inputs'!$F19+1),0)*IF(Q$36=0,0,1)*'I2 CBA Inputs'!$A$8</f>
        <v>0</v>
      </c>
      <c r="R41" s="18">
        <f>-IF(AND(R$36&gt;='I2 CBA Inputs'!$F19,R$36&lt;='I2 CBA Inputs'!$G19),'I2 CBA Inputs'!$E19/('I2 CBA Inputs'!$G19-'I2 CBA Inputs'!$F19+1),0)*IF(R$36=0,0,1)*'I2 CBA Inputs'!$A$8</f>
        <v>0</v>
      </c>
      <c r="S41" s="18">
        <f>-IF(AND(S$36&gt;='I2 CBA Inputs'!$F19,S$36&lt;='I2 CBA Inputs'!$G19),'I2 CBA Inputs'!$E19/('I2 CBA Inputs'!$G19-'I2 CBA Inputs'!$F19+1),0)*IF(S$36=0,0,1)*'I2 CBA Inputs'!$A$8</f>
        <v>0</v>
      </c>
      <c r="T41" s="18">
        <f>-IF(AND(T$36&gt;='I2 CBA Inputs'!$F19,T$36&lt;='I2 CBA Inputs'!$G19),'I2 CBA Inputs'!$E19/('I2 CBA Inputs'!$G19-'I2 CBA Inputs'!$F19+1),0)*IF(T$36=0,0,1)*'I2 CBA Inputs'!$A$8</f>
        <v>0</v>
      </c>
      <c r="U41" s="18">
        <f>-IF(AND(U$36&gt;='I2 CBA Inputs'!$F19,U$36&lt;='I2 CBA Inputs'!$G19),'I2 CBA Inputs'!$E19/('I2 CBA Inputs'!$G19-'I2 CBA Inputs'!$F19+1),0)*IF(U$36=0,0,1)*'I2 CBA Inputs'!$A$8</f>
        <v>0</v>
      </c>
      <c r="V41" s="18">
        <f>-IF(AND(V$36&gt;='I2 CBA Inputs'!$F19,V$36&lt;='I2 CBA Inputs'!$G19),'I2 CBA Inputs'!$E19/('I2 CBA Inputs'!$G19-'I2 CBA Inputs'!$F19+1),0)*IF(V$36=0,0,1)*'I2 CBA Inputs'!$A$8</f>
        <v>0</v>
      </c>
      <c r="W41" s="18">
        <f>-IF(AND(W$36&gt;='I2 CBA Inputs'!$F19,W$36&lt;='I2 CBA Inputs'!$G19),'I2 CBA Inputs'!$E19/('I2 CBA Inputs'!$G19-'I2 CBA Inputs'!$F19+1),0)*IF(W$36=0,0,1)*'I2 CBA Inputs'!$A$8</f>
        <v>0</v>
      </c>
      <c r="X41" s="18">
        <f>-IF(AND(X$36&gt;='I2 CBA Inputs'!$F19,X$36&lt;='I2 CBA Inputs'!$G19),'I2 CBA Inputs'!$E19/('I2 CBA Inputs'!$G19-'I2 CBA Inputs'!$F19+1),0)*IF(X$36=0,0,1)*'I2 CBA Inputs'!$A$8</f>
        <v>0</v>
      </c>
      <c r="Y41" s="18">
        <f>-IF(AND(Y$36&gt;='I2 CBA Inputs'!$F19,Y$36&lt;='I2 CBA Inputs'!$G19),'I2 CBA Inputs'!$E19/('I2 CBA Inputs'!$G19-'I2 CBA Inputs'!$F19+1),0)*IF(Y$36=0,0,1)*'I2 CBA Inputs'!$A$8</f>
        <v>0</v>
      </c>
      <c r="Z41" s="18">
        <f>-IF(AND(Z$36&gt;='I2 CBA Inputs'!$F19,Z$36&lt;='I2 CBA Inputs'!$G19),'I2 CBA Inputs'!$E19/('I2 CBA Inputs'!$G19-'I2 CBA Inputs'!$F19+1),0)*IF(Z$36=0,0,1)*'I2 CBA Inputs'!$A$8</f>
        <v>0</v>
      </c>
      <c r="AA41" s="18">
        <f>-IF(AND(AA$36&gt;='I2 CBA Inputs'!$F19,AA$36&lt;='I2 CBA Inputs'!$G19),'I2 CBA Inputs'!$E19/('I2 CBA Inputs'!$G19-'I2 CBA Inputs'!$F19+1),0)*IF(AA$36=0,0,1)*'I2 CBA Inputs'!$A$8</f>
        <v>0</v>
      </c>
      <c r="AB41" s="18">
        <f>-IF(AND(AB$36&gt;='I2 CBA Inputs'!$F19,AB$36&lt;='I2 CBA Inputs'!$G19),'I2 CBA Inputs'!$E19/('I2 CBA Inputs'!$G19-'I2 CBA Inputs'!$F19+1),0)*IF(AB$36=0,0,1)*'I2 CBA Inputs'!$A$8</f>
        <v>0</v>
      </c>
      <c r="AC41" s="18">
        <f>-IF(AND(AC$36&gt;='I2 CBA Inputs'!$F19,AC$36&lt;='I2 CBA Inputs'!$G19),'I2 CBA Inputs'!$E19/('I2 CBA Inputs'!$G19-'I2 CBA Inputs'!$F19+1),0)*IF(AC$36=0,0,1)*'I2 CBA Inputs'!$A$8</f>
        <v>0</v>
      </c>
      <c r="AD41" s="18">
        <f>-IF(AND(AD$36&gt;='I2 CBA Inputs'!$F19,AD$36&lt;='I2 CBA Inputs'!$G19),'I2 CBA Inputs'!$E19/('I2 CBA Inputs'!$G19-'I2 CBA Inputs'!$F19+1),0)*IF(AD$36=0,0,1)*'I2 CBA Inputs'!$A$8</f>
        <v>0</v>
      </c>
      <c r="AE41" s="18">
        <f>-IF(AND(AE$36&gt;='I2 CBA Inputs'!$F19,AE$36&lt;='I2 CBA Inputs'!$G19),'I2 CBA Inputs'!$E19/('I2 CBA Inputs'!$G19-'I2 CBA Inputs'!$F19+1),0)*IF(AE$36=0,0,1)*'I2 CBA Inputs'!$A$8</f>
        <v>0</v>
      </c>
      <c r="AF41" s="18">
        <f>-IF(AND(AF$36&gt;='I2 CBA Inputs'!$F19,AF$36&lt;='I2 CBA Inputs'!$G19),'I2 CBA Inputs'!$E19/('I2 CBA Inputs'!$G19-'I2 CBA Inputs'!$F19+1),0)*IF(AF$36=0,0,1)*'I2 CBA Inputs'!$A$8</f>
        <v>0</v>
      </c>
      <c r="AG41" s="18">
        <f>-IF(AND(AG$36&gt;='I2 CBA Inputs'!$F19,AG$36&lt;='I2 CBA Inputs'!$G19),'I2 CBA Inputs'!$E19/('I2 CBA Inputs'!$G19-'I2 CBA Inputs'!$F19+1),0)*IF(AG$36=0,0,1)*'I2 CBA Inputs'!$A$8</f>
        <v>0</v>
      </c>
      <c r="AH41" s="18">
        <f>-IF(AND(AH$36&gt;='I2 CBA Inputs'!$F19,AH$36&lt;='I2 CBA Inputs'!$G19),'I2 CBA Inputs'!$E19/('I2 CBA Inputs'!$G19-'I2 CBA Inputs'!$F19+1),0)*IF(AH$36=0,0,1)*'I2 CBA Inputs'!$A$8</f>
        <v>0</v>
      </c>
      <c r="AI41" s="18">
        <f>-IF(AND(AI$36&gt;='I2 CBA Inputs'!$F19,AI$36&lt;='I2 CBA Inputs'!$G19),'I2 CBA Inputs'!$E19/('I2 CBA Inputs'!$G19-'I2 CBA Inputs'!$F19+1),0)*IF(AI$36=0,0,1)*'I2 CBA Inputs'!$A$8</f>
        <v>0</v>
      </c>
      <c r="AJ41" s="18">
        <f>-IF(AND(AJ$36&gt;='I2 CBA Inputs'!$F19,AJ$36&lt;='I2 CBA Inputs'!$G19),'I2 CBA Inputs'!$E19/('I2 CBA Inputs'!$G19-'I2 CBA Inputs'!$F19+1),0)*IF(AJ$36=0,0,1)*'I2 CBA Inputs'!$A$8</f>
        <v>0</v>
      </c>
    </row>
    <row r="42" spans="1:36" x14ac:dyDescent="0.2">
      <c r="A42" s="170"/>
      <c r="B42" s="26">
        <f>+'I2 CBA Inputs'!B20</f>
        <v>4</v>
      </c>
      <c r="C42" s="27" t="str">
        <f>+'I2 CBA Inputs'!C20</f>
        <v>Option 1D</v>
      </c>
      <c r="D42" s="27" t="str">
        <f>+'I2 CBA Inputs'!D20</f>
        <v>Substation</v>
      </c>
      <c r="E42" s="13" t="s">
        <v>35</v>
      </c>
      <c r="F42" s="19">
        <f t="shared" si="15"/>
        <v>-40125512.603423513</v>
      </c>
      <c r="G42" s="18">
        <f>-IF(AND(G$36&gt;='I2 CBA Inputs'!$F20,G$36&lt;='I2 CBA Inputs'!$G20),'I2 CBA Inputs'!$E20/('I2 CBA Inputs'!$G20-'I2 CBA Inputs'!$F20+1),0)*IF(G$36=0,0,1)*'I2 CBA Inputs'!$A$8</f>
        <v>0</v>
      </c>
      <c r="H42" s="18">
        <f>-IF(AND(H$36&gt;='I2 CBA Inputs'!$F20,H$36&lt;='I2 CBA Inputs'!$G20),'I2 CBA Inputs'!$E20/('I2 CBA Inputs'!$G20-'I2 CBA Inputs'!$F20+1),0)*IF(H$36=0,0,1)*'I2 CBA Inputs'!$A$8</f>
        <v>0</v>
      </c>
      <c r="I42" s="18">
        <f>-IF(AND(I$36&gt;='I2 CBA Inputs'!$F20,I$36&lt;='I2 CBA Inputs'!$G20),'I2 CBA Inputs'!$E20/('I2 CBA Inputs'!$G20-'I2 CBA Inputs'!$F20+1),0)*IF(I$36=0,0,1)*'I2 CBA Inputs'!$A$8</f>
        <v>-45000000</v>
      </c>
      <c r="J42" s="18">
        <f>-IF(AND(J$36&gt;='I2 CBA Inputs'!$F20,J$36&lt;='I2 CBA Inputs'!$G20),'I2 CBA Inputs'!$E20/('I2 CBA Inputs'!$G20-'I2 CBA Inputs'!$F20+1),0)*IF(J$36=0,0,1)*'I2 CBA Inputs'!$A$8</f>
        <v>0</v>
      </c>
      <c r="K42" s="18">
        <f>-IF(AND(K$36&gt;='I2 CBA Inputs'!$F20,K$36&lt;='I2 CBA Inputs'!$G20),'I2 CBA Inputs'!$E20/('I2 CBA Inputs'!$G20-'I2 CBA Inputs'!$F20+1),0)*IF(K$36=0,0,1)*'I2 CBA Inputs'!$A$8</f>
        <v>0</v>
      </c>
      <c r="L42" s="18">
        <f>-IF(AND(L$36&gt;='I2 CBA Inputs'!$F20,L$36&lt;='I2 CBA Inputs'!$G20),'I2 CBA Inputs'!$E20/('I2 CBA Inputs'!$G20-'I2 CBA Inputs'!$F20+1),0)*IF(L$36=0,0,1)*'I2 CBA Inputs'!$A$8</f>
        <v>0</v>
      </c>
      <c r="M42" s="18">
        <f>-IF(AND(M$36&gt;='I2 CBA Inputs'!$F20,M$36&lt;='I2 CBA Inputs'!$G20),'I2 CBA Inputs'!$E20/('I2 CBA Inputs'!$G20-'I2 CBA Inputs'!$F20+1),0)*IF(M$36=0,0,1)*'I2 CBA Inputs'!$A$8</f>
        <v>0</v>
      </c>
      <c r="N42" s="18">
        <f>-IF(AND(N$36&gt;='I2 CBA Inputs'!$F20,N$36&lt;='I2 CBA Inputs'!$G20),'I2 CBA Inputs'!$E20/('I2 CBA Inputs'!$G20-'I2 CBA Inputs'!$F20+1),0)*IF(N$36=0,0,1)*'I2 CBA Inputs'!$A$8</f>
        <v>0</v>
      </c>
      <c r="O42" s="18">
        <f>-IF(AND(O$36&gt;='I2 CBA Inputs'!$F20,O$36&lt;='I2 CBA Inputs'!$G20),'I2 CBA Inputs'!$E20/('I2 CBA Inputs'!$G20-'I2 CBA Inputs'!$F20+1),0)*IF(O$36=0,0,1)*'I2 CBA Inputs'!$A$8</f>
        <v>0</v>
      </c>
      <c r="P42" s="18">
        <f>-IF(AND(P$36&gt;='I2 CBA Inputs'!$F20,P$36&lt;='I2 CBA Inputs'!$G20),'I2 CBA Inputs'!$E20/('I2 CBA Inputs'!$G20-'I2 CBA Inputs'!$F20+1),0)*IF(P$36=0,0,1)*'I2 CBA Inputs'!$A$8</f>
        <v>0</v>
      </c>
      <c r="Q42" s="18">
        <f>-IF(AND(Q$36&gt;='I2 CBA Inputs'!$F20,Q$36&lt;='I2 CBA Inputs'!$G20),'I2 CBA Inputs'!$E20/('I2 CBA Inputs'!$G20-'I2 CBA Inputs'!$F20+1),0)*IF(Q$36=0,0,1)*'I2 CBA Inputs'!$A$8</f>
        <v>0</v>
      </c>
      <c r="R42" s="18">
        <f>-IF(AND(R$36&gt;='I2 CBA Inputs'!$F20,R$36&lt;='I2 CBA Inputs'!$G20),'I2 CBA Inputs'!$E20/('I2 CBA Inputs'!$G20-'I2 CBA Inputs'!$F20+1),0)*IF(R$36=0,0,1)*'I2 CBA Inputs'!$A$8</f>
        <v>0</v>
      </c>
      <c r="S42" s="18">
        <f>-IF(AND(S$36&gt;='I2 CBA Inputs'!$F20,S$36&lt;='I2 CBA Inputs'!$G20),'I2 CBA Inputs'!$E20/('I2 CBA Inputs'!$G20-'I2 CBA Inputs'!$F20+1),0)*IF(S$36=0,0,1)*'I2 CBA Inputs'!$A$8</f>
        <v>0</v>
      </c>
      <c r="T42" s="18">
        <f>-IF(AND(T$36&gt;='I2 CBA Inputs'!$F20,T$36&lt;='I2 CBA Inputs'!$G20),'I2 CBA Inputs'!$E20/('I2 CBA Inputs'!$G20-'I2 CBA Inputs'!$F20+1),0)*IF(T$36=0,0,1)*'I2 CBA Inputs'!$A$8</f>
        <v>0</v>
      </c>
      <c r="U42" s="18">
        <f>-IF(AND(U$36&gt;='I2 CBA Inputs'!$F20,U$36&lt;='I2 CBA Inputs'!$G20),'I2 CBA Inputs'!$E20/('I2 CBA Inputs'!$G20-'I2 CBA Inputs'!$F20+1),0)*IF(U$36=0,0,1)*'I2 CBA Inputs'!$A$8</f>
        <v>0</v>
      </c>
      <c r="V42" s="18">
        <f>-IF(AND(V$36&gt;='I2 CBA Inputs'!$F20,V$36&lt;='I2 CBA Inputs'!$G20),'I2 CBA Inputs'!$E20/('I2 CBA Inputs'!$G20-'I2 CBA Inputs'!$F20+1),0)*IF(V$36=0,0,1)*'I2 CBA Inputs'!$A$8</f>
        <v>0</v>
      </c>
      <c r="W42" s="18">
        <f>-IF(AND(W$36&gt;='I2 CBA Inputs'!$F20,W$36&lt;='I2 CBA Inputs'!$G20),'I2 CBA Inputs'!$E20/('I2 CBA Inputs'!$G20-'I2 CBA Inputs'!$F20+1),0)*IF(W$36=0,0,1)*'I2 CBA Inputs'!$A$8</f>
        <v>0</v>
      </c>
      <c r="X42" s="18">
        <f>-IF(AND(X$36&gt;='I2 CBA Inputs'!$F20,X$36&lt;='I2 CBA Inputs'!$G20),'I2 CBA Inputs'!$E20/('I2 CBA Inputs'!$G20-'I2 CBA Inputs'!$F20+1),0)*IF(X$36=0,0,1)*'I2 CBA Inputs'!$A$8</f>
        <v>0</v>
      </c>
      <c r="Y42" s="18">
        <f>-IF(AND(Y$36&gt;='I2 CBA Inputs'!$F20,Y$36&lt;='I2 CBA Inputs'!$G20),'I2 CBA Inputs'!$E20/('I2 CBA Inputs'!$G20-'I2 CBA Inputs'!$F20+1),0)*IF(Y$36=0,0,1)*'I2 CBA Inputs'!$A$8</f>
        <v>0</v>
      </c>
      <c r="Z42" s="18">
        <f>-IF(AND(Z$36&gt;='I2 CBA Inputs'!$F20,Z$36&lt;='I2 CBA Inputs'!$G20),'I2 CBA Inputs'!$E20/('I2 CBA Inputs'!$G20-'I2 CBA Inputs'!$F20+1),0)*IF(Z$36=0,0,1)*'I2 CBA Inputs'!$A$8</f>
        <v>0</v>
      </c>
      <c r="AA42" s="18">
        <f>-IF(AND(AA$36&gt;='I2 CBA Inputs'!$F20,AA$36&lt;='I2 CBA Inputs'!$G20),'I2 CBA Inputs'!$E20/('I2 CBA Inputs'!$G20-'I2 CBA Inputs'!$F20+1),0)*IF(AA$36=0,0,1)*'I2 CBA Inputs'!$A$8</f>
        <v>0</v>
      </c>
      <c r="AB42" s="18">
        <f>-IF(AND(AB$36&gt;='I2 CBA Inputs'!$F20,AB$36&lt;='I2 CBA Inputs'!$G20),'I2 CBA Inputs'!$E20/('I2 CBA Inputs'!$G20-'I2 CBA Inputs'!$F20+1),0)*IF(AB$36=0,0,1)*'I2 CBA Inputs'!$A$8</f>
        <v>0</v>
      </c>
      <c r="AC42" s="18">
        <f>-IF(AND(AC$36&gt;='I2 CBA Inputs'!$F20,AC$36&lt;='I2 CBA Inputs'!$G20),'I2 CBA Inputs'!$E20/('I2 CBA Inputs'!$G20-'I2 CBA Inputs'!$F20+1),0)*IF(AC$36=0,0,1)*'I2 CBA Inputs'!$A$8</f>
        <v>0</v>
      </c>
      <c r="AD42" s="18">
        <f>-IF(AND(AD$36&gt;='I2 CBA Inputs'!$F20,AD$36&lt;='I2 CBA Inputs'!$G20),'I2 CBA Inputs'!$E20/('I2 CBA Inputs'!$G20-'I2 CBA Inputs'!$F20+1),0)*IF(AD$36=0,0,1)*'I2 CBA Inputs'!$A$8</f>
        <v>0</v>
      </c>
      <c r="AE42" s="18">
        <f>-IF(AND(AE$36&gt;='I2 CBA Inputs'!$F20,AE$36&lt;='I2 CBA Inputs'!$G20),'I2 CBA Inputs'!$E20/('I2 CBA Inputs'!$G20-'I2 CBA Inputs'!$F20+1),0)*IF(AE$36=0,0,1)*'I2 CBA Inputs'!$A$8</f>
        <v>0</v>
      </c>
      <c r="AF42" s="18">
        <f>-IF(AND(AF$36&gt;='I2 CBA Inputs'!$F20,AF$36&lt;='I2 CBA Inputs'!$G20),'I2 CBA Inputs'!$E20/('I2 CBA Inputs'!$G20-'I2 CBA Inputs'!$F20+1),0)*IF(AF$36=0,0,1)*'I2 CBA Inputs'!$A$8</f>
        <v>0</v>
      </c>
      <c r="AG42" s="18">
        <f>-IF(AND(AG$36&gt;='I2 CBA Inputs'!$F20,AG$36&lt;='I2 CBA Inputs'!$G20),'I2 CBA Inputs'!$E20/('I2 CBA Inputs'!$G20-'I2 CBA Inputs'!$F20+1),0)*IF(AG$36=0,0,1)*'I2 CBA Inputs'!$A$8</f>
        <v>0</v>
      </c>
      <c r="AH42" s="18">
        <f>-IF(AND(AH$36&gt;='I2 CBA Inputs'!$F20,AH$36&lt;='I2 CBA Inputs'!$G20),'I2 CBA Inputs'!$E20/('I2 CBA Inputs'!$G20-'I2 CBA Inputs'!$F20+1),0)*IF(AH$36=0,0,1)*'I2 CBA Inputs'!$A$8</f>
        <v>0</v>
      </c>
      <c r="AI42" s="18">
        <f>-IF(AND(AI$36&gt;='I2 CBA Inputs'!$F20,AI$36&lt;='I2 CBA Inputs'!$G20),'I2 CBA Inputs'!$E20/('I2 CBA Inputs'!$G20-'I2 CBA Inputs'!$F20+1),0)*IF(AI$36=0,0,1)*'I2 CBA Inputs'!$A$8</f>
        <v>0</v>
      </c>
      <c r="AJ42" s="18">
        <f>-IF(AND(AJ$36&gt;='I2 CBA Inputs'!$F20,AJ$36&lt;='I2 CBA Inputs'!$G20),'I2 CBA Inputs'!$E20/('I2 CBA Inputs'!$G20-'I2 CBA Inputs'!$F20+1),0)*IF(AJ$36=0,0,1)*'I2 CBA Inputs'!$A$8</f>
        <v>0</v>
      </c>
    </row>
    <row r="43" spans="1:36" x14ac:dyDescent="0.2">
      <c r="A43" s="170"/>
      <c r="B43" s="26">
        <f>+'I2 CBA Inputs'!B21</f>
        <v>5</v>
      </c>
      <c r="C43" s="27" t="str">
        <f>+'I2 CBA Inputs'!C21</f>
        <v>Option 5A</v>
      </c>
      <c r="D43" s="27" t="str">
        <f>+'I2 CBA Inputs'!D21</f>
        <v>Battery</v>
      </c>
      <c r="E43" s="13" t="s">
        <v>35</v>
      </c>
      <c r="F43" s="19">
        <f t="shared" si="15"/>
        <v>-52609005.413377494</v>
      </c>
      <c r="G43" s="18">
        <f>-IF(AND(G$36&gt;='I2 CBA Inputs'!$F21,G$36&lt;='I2 CBA Inputs'!$G21),'I2 CBA Inputs'!$E21/('I2 CBA Inputs'!$G21-'I2 CBA Inputs'!$F21+1),0)*IF(G$36=0,0,1)*'I2 CBA Inputs'!$A$8</f>
        <v>0</v>
      </c>
      <c r="H43" s="18">
        <f>-IF(AND(H$36&gt;='I2 CBA Inputs'!$F21,H$36&lt;='I2 CBA Inputs'!$G21),'I2 CBA Inputs'!$E21/('I2 CBA Inputs'!$G21-'I2 CBA Inputs'!$F21+1),0)*IF(H$36=0,0,1)*'I2 CBA Inputs'!$A$8</f>
        <v>0</v>
      </c>
      <c r="I43" s="18">
        <f>-IF(AND(I$36&gt;='I2 CBA Inputs'!$F21,I$36&lt;='I2 CBA Inputs'!$G21),'I2 CBA Inputs'!$E21/('I2 CBA Inputs'!$G21-'I2 CBA Inputs'!$F21+1),0)*IF(I$36=0,0,1)*'I2 CBA Inputs'!$A$8</f>
        <v>-59000000</v>
      </c>
      <c r="J43" s="18">
        <f>-IF(AND(J$36&gt;='I2 CBA Inputs'!$F21,J$36&lt;='I2 CBA Inputs'!$G21),'I2 CBA Inputs'!$E21/('I2 CBA Inputs'!$G21-'I2 CBA Inputs'!$F21+1),0)*IF(J$36=0,0,1)*'I2 CBA Inputs'!$A$8</f>
        <v>0</v>
      </c>
      <c r="K43" s="18">
        <f>-IF(AND(K$36&gt;='I2 CBA Inputs'!$F21,K$36&lt;='I2 CBA Inputs'!$G21),'I2 CBA Inputs'!$E21/('I2 CBA Inputs'!$G21-'I2 CBA Inputs'!$F21+1),0)*IF(K$36=0,0,1)*'I2 CBA Inputs'!$A$8</f>
        <v>0</v>
      </c>
      <c r="L43" s="18">
        <f>-IF(AND(L$36&gt;='I2 CBA Inputs'!$F21,L$36&lt;='I2 CBA Inputs'!$G21),'I2 CBA Inputs'!$E21/('I2 CBA Inputs'!$G21-'I2 CBA Inputs'!$F21+1),0)*IF(L$36=0,0,1)*'I2 CBA Inputs'!$A$8</f>
        <v>0</v>
      </c>
      <c r="M43" s="18">
        <f>-IF(AND(M$36&gt;='I2 CBA Inputs'!$F21,M$36&lt;='I2 CBA Inputs'!$G21),'I2 CBA Inputs'!$E21/('I2 CBA Inputs'!$G21-'I2 CBA Inputs'!$F21+1),0)*IF(M$36=0,0,1)*'I2 CBA Inputs'!$A$8</f>
        <v>0</v>
      </c>
      <c r="N43" s="18">
        <f>-IF(AND(N$36&gt;='I2 CBA Inputs'!$F21,N$36&lt;='I2 CBA Inputs'!$G21),'I2 CBA Inputs'!$E21/('I2 CBA Inputs'!$G21-'I2 CBA Inputs'!$F21+1),0)*IF(N$36=0,0,1)*'I2 CBA Inputs'!$A$8</f>
        <v>0</v>
      </c>
      <c r="O43" s="18">
        <f>-IF(AND(O$36&gt;='I2 CBA Inputs'!$F21,O$36&lt;='I2 CBA Inputs'!$G21),'I2 CBA Inputs'!$E21/('I2 CBA Inputs'!$G21-'I2 CBA Inputs'!$F21+1),0)*IF(O$36=0,0,1)*'I2 CBA Inputs'!$A$8</f>
        <v>0</v>
      </c>
      <c r="P43" s="18">
        <f>-IF(AND(P$36&gt;='I2 CBA Inputs'!$F21,P$36&lt;='I2 CBA Inputs'!$G21),'I2 CBA Inputs'!$E21/('I2 CBA Inputs'!$G21-'I2 CBA Inputs'!$F21+1),0)*IF(P$36=0,0,1)*'I2 CBA Inputs'!$A$8</f>
        <v>0</v>
      </c>
      <c r="Q43" s="18">
        <f>-IF(AND(Q$36&gt;='I2 CBA Inputs'!$F21,Q$36&lt;='I2 CBA Inputs'!$G21),'I2 CBA Inputs'!$E21/('I2 CBA Inputs'!$G21-'I2 CBA Inputs'!$F21+1),0)*IF(Q$36=0,0,1)*'I2 CBA Inputs'!$A$8</f>
        <v>0</v>
      </c>
      <c r="R43" s="18">
        <f>-IF(AND(R$36&gt;='I2 CBA Inputs'!$F21,R$36&lt;='I2 CBA Inputs'!$G21),'I2 CBA Inputs'!$E21/('I2 CBA Inputs'!$G21-'I2 CBA Inputs'!$F21+1),0)*IF(R$36=0,0,1)*'I2 CBA Inputs'!$A$8</f>
        <v>0</v>
      </c>
      <c r="S43" s="18">
        <f>-IF(AND(S$36&gt;='I2 CBA Inputs'!$F21,S$36&lt;='I2 CBA Inputs'!$G21),'I2 CBA Inputs'!$E21/('I2 CBA Inputs'!$G21-'I2 CBA Inputs'!$F21+1),0)*IF(S$36=0,0,1)*'I2 CBA Inputs'!$A$8</f>
        <v>0</v>
      </c>
      <c r="T43" s="18">
        <f>-IF(AND(T$36&gt;='I2 CBA Inputs'!$F21,T$36&lt;='I2 CBA Inputs'!$G21),'I2 CBA Inputs'!$E21/('I2 CBA Inputs'!$G21-'I2 CBA Inputs'!$F21+1),0)*IF(T$36=0,0,1)*'I2 CBA Inputs'!$A$8</f>
        <v>0</v>
      </c>
      <c r="U43" s="18">
        <f>-IF(AND(U$36&gt;='I2 CBA Inputs'!$F21,U$36&lt;='I2 CBA Inputs'!$G21),'I2 CBA Inputs'!$E21/('I2 CBA Inputs'!$G21-'I2 CBA Inputs'!$F21+1),0)*IF(U$36=0,0,1)*'I2 CBA Inputs'!$A$8</f>
        <v>0</v>
      </c>
      <c r="V43" s="18">
        <f>-IF(AND(V$36&gt;='I2 CBA Inputs'!$F21,V$36&lt;='I2 CBA Inputs'!$G21),'I2 CBA Inputs'!$E21/('I2 CBA Inputs'!$G21-'I2 CBA Inputs'!$F21+1),0)*IF(V$36=0,0,1)*'I2 CBA Inputs'!$A$8</f>
        <v>0</v>
      </c>
      <c r="W43" s="18">
        <f>-IF(AND(W$36&gt;='I2 CBA Inputs'!$F21,W$36&lt;='I2 CBA Inputs'!$G21),'I2 CBA Inputs'!$E21/('I2 CBA Inputs'!$G21-'I2 CBA Inputs'!$F21+1),0)*IF(W$36=0,0,1)*'I2 CBA Inputs'!$A$8</f>
        <v>0</v>
      </c>
      <c r="X43" s="18">
        <f>-IF(AND(X$36&gt;='I2 CBA Inputs'!$F21,X$36&lt;='I2 CBA Inputs'!$G21),'I2 CBA Inputs'!$E21/('I2 CBA Inputs'!$G21-'I2 CBA Inputs'!$F21+1),0)*IF(X$36=0,0,1)*'I2 CBA Inputs'!$A$8</f>
        <v>0</v>
      </c>
      <c r="Y43" s="18">
        <f>-IF(AND(Y$36&gt;='I2 CBA Inputs'!$F21,Y$36&lt;='I2 CBA Inputs'!$G21),'I2 CBA Inputs'!$E21/('I2 CBA Inputs'!$G21-'I2 CBA Inputs'!$F21+1),0)*IF(Y$36=0,0,1)*'I2 CBA Inputs'!$A$8</f>
        <v>0</v>
      </c>
      <c r="Z43" s="18">
        <f>-IF(AND(Z$36&gt;='I2 CBA Inputs'!$F21,Z$36&lt;='I2 CBA Inputs'!$G21),'I2 CBA Inputs'!$E21/('I2 CBA Inputs'!$G21-'I2 CBA Inputs'!$F21+1),0)*IF(Z$36=0,0,1)*'I2 CBA Inputs'!$A$8</f>
        <v>0</v>
      </c>
      <c r="AA43" s="18">
        <f>-IF(AND(AA$36&gt;='I2 CBA Inputs'!$F21,AA$36&lt;='I2 CBA Inputs'!$G21),'I2 CBA Inputs'!$E21/('I2 CBA Inputs'!$G21-'I2 CBA Inputs'!$F21+1),0)*IF(AA$36=0,0,1)*'I2 CBA Inputs'!$A$8</f>
        <v>0</v>
      </c>
      <c r="AB43" s="18">
        <f>-IF(AND(AB$36&gt;='I2 CBA Inputs'!$F21,AB$36&lt;='I2 CBA Inputs'!$G21),'I2 CBA Inputs'!$E21/('I2 CBA Inputs'!$G21-'I2 CBA Inputs'!$F21+1),0)*IF(AB$36=0,0,1)*'I2 CBA Inputs'!$A$8</f>
        <v>0</v>
      </c>
      <c r="AC43" s="18">
        <f>-IF(AND(AC$36&gt;='I2 CBA Inputs'!$F21,AC$36&lt;='I2 CBA Inputs'!$G21),'I2 CBA Inputs'!$E21/('I2 CBA Inputs'!$G21-'I2 CBA Inputs'!$F21+1),0)*IF(AC$36=0,0,1)*'I2 CBA Inputs'!$A$8</f>
        <v>0</v>
      </c>
      <c r="AD43" s="18">
        <f>-IF(AND(AD$36&gt;='I2 CBA Inputs'!$F21,AD$36&lt;='I2 CBA Inputs'!$G21),'I2 CBA Inputs'!$E21/('I2 CBA Inputs'!$G21-'I2 CBA Inputs'!$F21+1),0)*IF(AD$36=0,0,1)*'I2 CBA Inputs'!$A$8</f>
        <v>0</v>
      </c>
      <c r="AE43" s="18">
        <f>-IF(AND(AE$36&gt;='I2 CBA Inputs'!$F21,AE$36&lt;='I2 CBA Inputs'!$G21),'I2 CBA Inputs'!$E21/('I2 CBA Inputs'!$G21-'I2 CBA Inputs'!$F21+1),0)*IF(AE$36=0,0,1)*'I2 CBA Inputs'!$A$8</f>
        <v>0</v>
      </c>
      <c r="AF43" s="18">
        <f>-IF(AND(AF$36&gt;='I2 CBA Inputs'!$F21,AF$36&lt;='I2 CBA Inputs'!$G21),'I2 CBA Inputs'!$E21/('I2 CBA Inputs'!$G21-'I2 CBA Inputs'!$F21+1),0)*IF(AF$36=0,0,1)*'I2 CBA Inputs'!$A$8</f>
        <v>0</v>
      </c>
      <c r="AG43" s="18">
        <f>-IF(AND(AG$36&gt;='I2 CBA Inputs'!$F21,AG$36&lt;='I2 CBA Inputs'!$G21),'I2 CBA Inputs'!$E21/('I2 CBA Inputs'!$G21-'I2 CBA Inputs'!$F21+1),0)*IF(AG$36=0,0,1)*'I2 CBA Inputs'!$A$8</f>
        <v>0</v>
      </c>
      <c r="AH43" s="18">
        <f>-IF(AND(AH$36&gt;='I2 CBA Inputs'!$F21,AH$36&lt;='I2 CBA Inputs'!$G21),'I2 CBA Inputs'!$E21/('I2 CBA Inputs'!$G21-'I2 CBA Inputs'!$F21+1),0)*IF(AH$36=0,0,1)*'I2 CBA Inputs'!$A$8</f>
        <v>0</v>
      </c>
      <c r="AI43" s="18">
        <f>-IF(AND(AI$36&gt;='I2 CBA Inputs'!$F21,AI$36&lt;='I2 CBA Inputs'!$G21),'I2 CBA Inputs'!$E21/('I2 CBA Inputs'!$G21-'I2 CBA Inputs'!$F21+1),0)*IF(AI$36=0,0,1)*'I2 CBA Inputs'!$A$8</f>
        <v>0</v>
      </c>
      <c r="AJ43" s="18">
        <f>-IF(AND(AJ$36&gt;='I2 CBA Inputs'!$F21,AJ$36&lt;='I2 CBA Inputs'!$G21),'I2 CBA Inputs'!$E21/('I2 CBA Inputs'!$G21-'I2 CBA Inputs'!$F21+1),0)*IF(AJ$36=0,0,1)*'I2 CBA Inputs'!$A$8</f>
        <v>0</v>
      </c>
    </row>
    <row r="44" spans="1:36" x14ac:dyDescent="0.2">
      <c r="A44" s="170"/>
      <c r="B44" s="26">
        <f>+'I2 CBA Inputs'!B22</f>
        <v>5</v>
      </c>
      <c r="C44" s="27" t="str">
        <f>+'I2 CBA Inputs'!C22</f>
        <v>Option 5A</v>
      </c>
      <c r="D44" s="27" t="str">
        <f>+'I2 CBA Inputs'!D22</f>
        <v>Battery</v>
      </c>
      <c r="E44" s="13" t="s">
        <v>35</v>
      </c>
      <c r="F44" s="19">
        <f t="shared" si="15"/>
        <v>-8905958.7885108069</v>
      </c>
      <c r="G44" s="18">
        <f>-IF(AND(G$36&gt;='I2 CBA Inputs'!$F22,G$36&lt;='I2 CBA Inputs'!$G22),'I2 CBA Inputs'!$E22/('I2 CBA Inputs'!$G22-'I2 CBA Inputs'!$F22+1),0)*IF(G$36=0,0,1)*'I2 CBA Inputs'!$A$8</f>
        <v>0</v>
      </c>
      <c r="H44" s="18">
        <f>-IF(AND(H$36&gt;='I2 CBA Inputs'!$F22,H$36&lt;='I2 CBA Inputs'!$G22),'I2 CBA Inputs'!$E22/('I2 CBA Inputs'!$G22-'I2 CBA Inputs'!$F22+1),0)*IF(H$36=0,0,1)*'I2 CBA Inputs'!$A$8</f>
        <v>0</v>
      </c>
      <c r="I44" s="18">
        <f>-IF(AND(I$36&gt;='I2 CBA Inputs'!$F22,I$36&lt;='I2 CBA Inputs'!$G22),'I2 CBA Inputs'!$E22/('I2 CBA Inputs'!$G22-'I2 CBA Inputs'!$F22+1),0)*IF(I$36=0,0,1)*'I2 CBA Inputs'!$A$8</f>
        <v>0</v>
      </c>
      <c r="J44" s="18">
        <f>-IF(AND(J$36&gt;='I2 CBA Inputs'!$F22,J$36&lt;='I2 CBA Inputs'!$G22),'I2 CBA Inputs'!$E22/('I2 CBA Inputs'!$G22-'I2 CBA Inputs'!$F22+1),0)*IF(J$36=0,0,1)*'I2 CBA Inputs'!$A$8</f>
        <v>0</v>
      </c>
      <c r="K44" s="18">
        <f>-IF(AND(K$36&gt;='I2 CBA Inputs'!$F22,K$36&lt;='I2 CBA Inputs'!$G22),'I2 CBA Inputs'!$E22/('I2 CBA Inputs'!$G22-'I2 CBA Inputs'!$F22+1),0)*IF(K$36=0,0,1)*'I2 CBA Inputs'!$A$8</f>
        <v>0</v>
      </c>
      <c r="L44" s="18">
        <f>-IF(AND(L$36&gt;='I2 CBA Inputs'!$F22,L$36&lt;='I2 CBA Inputs'!$G22),'I2 CBA Inputs'!$E22/('I2 CBA Inputs'!$G22-'I2 CBA Inputs'!$F22+1),0)*IF(L$36=0,0,1)*'I2 CBA Inputs'!$A$8</f>
        <v>0</v>
      </c>
      <c r="M44" s="18">
        <f>-IF(AND(M$36&gt;='I2 CBA Inputs'!$F22,M$36&lt;='I2 CBA Inputs'!$G22),'I2 CBA Inputs'!$E22/('I2 CBA Inputs'!$G22-'I2 CBA Inputs'!$F22+1),0)*IF(M$36=0,0,1)*'I2 CBA Inputs'!$A$8</f>
        <v>0</v>
      </c>
      <c r="N44" s="18">
        <f>-IF(AND(N$36&gt;='I2 CBA Inputs'!$F22,N$36&lt;='I2 CBA Inputs'!$G22),'I2 CBA Inputs'!$E22/('I2 CBA Inputs'!$G22-'I2 CBA Inputs'!$F22+1),0)*IF(N$36=0,0,1)*'I2 CBA Inputs'!$A$8</f>
        <v>0</v>
      </c>
      <c r="O44" s="18">
        <f>-IF(AND(O$36&gt;='I2 CBA Inputs'!$F22,O$36&lt;='I2 CBA Inputs'!$G22),'I2 CBA Inputs'!$E22/('I2 CBA Inputs'!$G22-'I2 CBA Inputs'!$F22+1),0)*IF(O$36=0,0,1)*'I2 CBA Inputs'!$A$8</f>
        <v>0</v>
      </c>
      <c r="P44" s="18">
        <f>-IF(AND(P$36&gt;='I2 CBA Inputs'!$F22,P$36&lt;='I2 CBA Inputs'!$G22),'I2 CBA Inputs'!$E22/('I2 CBA Inputs'!$G22-'I2 CBA Inputs'!$F22+1),0)*IF(P$36=0,0,1)*'I2 CBA Inputs'!$A$8</f>
        <v>0</v>
      </c>
      <c r="Q44" s="18">
        <f>-IF(AND(Q$36&gt;='I2 CBA Inputs'!$F22,Q$36&lt;='I2 CBA Inputs'!$G22),'I2 CBA Inputs'!$E22/('I2 CBA Inputs'!$G22-'I2 CBA Inputs'!$F22+1),0)*IF(Q$36=0,0,1)*'I2 CBA Inputs'!$A$8</f>
        <v>0</v>
      </c>
      <c r="R44" s="18">
        <f>-IF(AND(R$36&gt;='I2 CBA Inputs'!$F22,R$36&lt;='I2 CBA Inputs'!$G22),'I2 CBA Inputs'!$E22/('I2 CBA Inputs'!$G22-'I2 CBA Inputs'!$F22+1),0)*IF(R$36=0,0,1)*'I2 CBA Inputs'!$A$8</f>
        <v>0</v>
      </c>
      <c r="S44" s="18">
        <f>-IF(AND(S$36&gt;='I2 CBA Inputs'!$F22,S$36&lt;='I2 CBA Inputs'!$G22),'I2 CBA Inputs'!$E22/('I2 CBA Inputs'!$G22-'I2 CBA Inputs'!$F22+1),0)*IF(S$36=0,0,1)*'I2 CBA Inputs'!$A$8</f>
        <v>0</v>
      </c>
      <c r="T44" s="18">
        <f>-IF(AND(T$36&gt;='I2 CBA Inputs'!$F22,T$36&lt;='I2 CBA Inputs'!$G22),'I2 CBA Inputs'!$E22/('I2 CBA Inputs'!$G22-'I2 CBA Inputs'!$F22+1),0)*IF(T$36=0,0,1)*'I2 CBA Inputs'!$A$8</f>
        <v>0</v>
      </c>
      <c r="U44" s="18">
        <f>-IF(AND(U$36&gt;='I2 CBA Inputs'!$F22,U$36&lt;='I2 CBA Inputs'!$G22),'I2 CBA Inputs'!$E22/('I2 CBA Inputs'!$G22-'I2 CBA Inputs'!$F22+1),0)*IF(U$36=0,0,1)*'I2 CBA Inputs'!$A$8</f>
        <v>0</v>
      </c>
      <c r="V44" s="18">
        <f>-IF(AND(V$36&gt;='I2 CBA Inputs'!$F22,V$36&lt;='I2 CBA Inputs'!$G22),'I2 CBA Inputs'!$E22/('I2 CBA Inputs'!$G22-'I2 CBA Inputs'!$F22+1),0)*IF(V$36=0,0,1)*'I2 CBA Inputs'!$A$8</f>
        <v>0</v>
      </c>
      <c r="W44" s="18">
        <f>-IF(AND(W$36&gt;='I2 CBA Inputs'!$F22,W$36&lt;='I2 CBA Inputs'!$G22),'I2 CBA Inputs'!$E22/('I2 CBA Inputs'!$G22-'I2 CBA Inputs'!$F22+1),0)*IF(W$36=0,0,1)*'I2 CBA Inputs'!$A$8</f>
        <v>0</v>
      </c>
      <c r="X44" s="18">
        <f>-IF(AND(X$36&gt;='I2 CBA Inputs'!$F22,X$36&lt;='I2 CBA Inputs'!$G22),'I2 CBA Inputs'!$E22/('I2 CBA Inputs'!$G22-'I2 CBA Inputs'!$F22+1),0)*IF(X$36=0,0,1)*'I2 CBA Inputs'!$A$8</f>
        <v>-23600000</v>
      </c>
      <c r="Y44" s="18">
        <f>-IF(AND(Y$36&gt;='I2 CBA Inputs'!$F22,Y$36&lt;='I2 CBA Inputs'!$G22),'I2 CBA Inputs'!$E22/('I2 CBA Inputs'!$G22-'I2 CBA Inputs'!$F22+1),0)*IF(Y$36=0,0,1)*'I2 CBA Inputs'!$A$8</f>
        <v>0</v>
      </c>
      <c r="Z44" s="18">
        <f>-IF(AND(Z$36&gt;='I2 CBA Inputs'!$F22,Z$36&lt;='I2 CBA Inputs'!$G22),'I2 CBA Inputs'!$E22/('I2 CBA Inputs'!$G22-'I2 CBA Inputs'!$F22+1),0)*IF(Z$36=0,0,1)*'I2 CBA Inputs'!$A$8</f>
        <v>0</v>
      </c>
      <c r="AA44" s="18">
        <f>-IF(AND(AA$36&gt;='I2 CBA Inputs'!$F22,AA$36&lt;='I2 CBA Inputs'!$G22),'I2 CBA Inputs'!$E22/('I2 CBA Inputs'!$G22-'I2 CBA Inputs'!$F22+1),0)*IF(AA$36=0,0,1)*'I2 CBA Inputs'!$A$8</f>
        <v>0</v>
      </c>
      <c r="AB44" s="18">
        <f>-IF(AND(AB$36&gt;='I2 CBA Inputs'!$F22,AB$36&lt;='I2 CBA Inputs'!$G22),'I2 CBA Inputs'!$E22/('I2 CBA Inputs'!$G22-'I2 CBA Inputs'!$F22+1),0)*IF(AB$36=0,0,1)*'I2 CBA Inputs'!$A$8</f>
        <v>0</v>
      </c>
      <c r="AC44" s="18">
        <f>-IF(AND(AC$36&gt;='I2 CBA Inputs'!$F22,AC$36&lt;='I2 CBA Inputs'!$G22),'I2 CBA Inputs'!$E22/('I2 CBA Inputs'!$G22-'I2 CBA Inputs'!$F22+1),0)*IF(AC$36=0,0,1)*'I2 CBA Inputs'!$A$8</f>
        <v>0</v>
      </c>
      <c r="AD44" s="18">
        <f>-IF(AND(AD$36&gt;='I2 CBA Inputs'!$F22,AD$36&lt;='I2 CBA Inputs'!$G22),'I2 CBA Inputs'!$E22/('I2 CBA Inputs'!$G22-'I2 CBA Inputs'!$F22+1),0)*IF(AD$36=0,0,1)*'I2 CBA Inputs'!$A$8</f>
        <v>0</v>
      </c>
      <c r="AE44" s="18">
        <f>-IF(AND(AE$36&gt;='I2 CBA Inputs'!$F22,AE$36&lt;='I2 CBA Inputs'!$G22),'I2 CBA Inputs'!$E22/('I2 CBA Inputs'!$G22-'I2 CBA Inputs'!$F22+1),0)*IF(AE$36=0,0,1)*'I2 CBA Inputs'!$A$8</f>
        <v>0</v>
      </c>
      <c r="AF44" s="18">
        <f>-IF(AND(AF$36&gt;='I2 CBA Inputs'!$F22,AF$36&lt;='I2 CBA Inputs'!$G22),'I2 CBA Inputs'!$E22/('I2 CBA Inputs'!$G22-'I2 CBA Inputs'!$F22+1),0)*IF(AF$36=0,0,1)*'I2 CBA Inputs'!$A$8</f>
        <v>0</v>
      </c>
      <c r="AG44" s="18">
        <f>-IF(AND(AG$36&gt;='I2 CBA Inputs'!$F22,AG$36&lt;='I2 CBA Inputs'!$G22),'I2 CBA Inputs'!$E22/('I2 CBA Inputs'!$G22-'I2 CBA Inputs'!$F22+1),0)*IF(AG$36=0,0,1)*'I2 CBA Inputs'!$A$8</f>
        <v>0</v>
      </c>
      <c r="AH44" s="18">
        <f>-IF(AND(AH$36&gt;='I2 CBA Inputs'!$F22,AH$36&lt;='I2 CBA Inputs'!$G22),'I2 CBA Inputs'!$E22/('I2 CBA Inputs'!$G22-'I2 CBA Inputs'!$F22+1),0)*IF(AH$36=0,0,1)*'I2 CBA Inputs'!$A$8</f>
        <v>0</v>
      </c>
      <c r="AI44" s="18">
        <f>-IF(AND(AI$36&gt;='I2 CBA Inputs'!$F22,AI$36&lt;='I2 CBA Inputs'!$G22),'I2 CBA Inputs'!$E22/('I2 CBA Inputs'!$G22-'I2 CBA Inputs'!$F22+1),0)*IF(AI$36=0,0,1)*'I2 CBA Inputs'!$A$8</f>
        <v>0</v>
      </c>
      <c r="AJ44" s="18">
        <f>-IF(AND(AJ$36&gt;='I2 CBA Inputs'!$F22,AJ$36&lt;='I2 CBA Inputs'!$G22),'I2 CBA Inputs'!$E22/('I2 CBA Inputs'!$G22-'I2 CBA Inputs'!$F22+1),0)*IF(AJ$36=0,0,1)*'I2 CBA Inputs'!$A$8</f>
        <v>0</v>
      </c>
    </row>
    <row r="45" spans="1:36" x14ac:dyDescent="0.2">
      <c r="A45" s="170"/>
      <c r="B45" s="26">
        <f>+'I2 CBA Inputs'!B23</f>
        <v>5</v>
      </c>
      <c r="C45" s="27" t="str">
        <f>+'I2 CBA Inputs'!C23</f>
        <v>Option 5A</v>
      </c>
      <c r="D45" s="27" t="str">
        <f>+'I2 CBA Inputs'!D23</f>
        <v>Connection assets</v>
      </c>
      <c r="E45" s="13" t="s">
        <v>35</v>
      </c>
      <c r="F45" s="19">
        <f t="shared" si="15"/>
        <v>-24075307.562054105</v>
      </c>
      <c r="G45" s="18">
        <f>-IF(AND(G$36&gt;='I2 CBA Inputs'!$F23,G$36&lt;='I2 CBA Inputs'!$G23),'I2 CBA Inputs'!$E23/('I2 CBA Inputs'!$G23-'I2 CBA Inputs'!$F23+1),0)*IF(G$36=0,0,1)*'I2 CBA Inputs'!$A$8</f>
        <v>0</v>
      </c>
      <c r="H45" s="18">
        <f>-IF(AND(H$36&gt;='I2 CBA Inputs'!$F23,H$36&lt;='I2 CBA Inputs'!$G23),'I2 CBA Inputs'!$E23/('I2 CBA Inputs'!$G23-'I2 CBA Inputs'!$F23+1),0)*IF(H$36=0,0,1)*'I2 CBA Inputs'!$A$8</f>
        <v>0</v>
      </c>
      <c r="I45" s="18">
        <f>-IF(AND(I$36&gt;='I2 CBA Inputs'!$F23,I$36&lt;='I2 CBA Inputs'!$G23),'I2 CBA Inputs'!$E23/('I2 CBA Inputs'!$G23-'I2 CBA Inputs'!$F23+1),0)*IF(I$36=0,0,1)*'I2 CBA Inputs'!$A$8</f>
        <v>-27000000</v>
      </c>
      <c r="J45" s="18">
        <f>-IF(AND(J$36&gt;='I2 CBA Inputs'!$F23,J$36&lt;='I2 CBA Inputs'!$G23),'I2 CBA Inputs'!$E23/('I2 CBA Inputs'!$G23-'I2 CBA Inputs'!$F23+1),0)*IF(J$36=0,0,1)*'I2 CBA Inputs'!$A$8</f>
        <v>0</v>
      </c>
      <c r="K45" s="18">
        <f>-IF(AND(K$36&gt;='I2 CBA Inputs'!$F23,K$36&lt;='I2 CBA Inputs'!$G23),'I2 CBA Inputs'!$E23/('I2 CBA Inputs'!$G23-'I2 CBA Inputs'!$F23+1),0)*IF(K$36=0,0,1)*'I2 CBA Inputs'!$A$8</f>
        <v>0</v>
      </c>
      <c r="L45" s="18">
        <f>-IF(AND(L$36&gt;='I2 CBA Inputs'!$F23,L$36&lt;='I2 CBA Inputs'!$G23),'I2 CBA Inputs'!$E23/('I2 CBA Inputs'!$G23-'I2 CBA Inputs'!$F23+1),0)*IF(L$36=0,0,1)*'I2 CBA Inputs'!$A$8</f>
        <v>0</v>
      </c>
      <c r="M45" s="18">
        <f>-IF(AND(M$36&gt;='I2 CBA Inputs'!$F23,M$36&lt;='I2 CBA Inputs'!$G23),'I2 CBA Inputs'!$E23/('I2 CBA Inputs'!$G23-'I2 CBA Inputs'!$F23+1),0)*IF(M$36=0,0,1)*'I2 CBA Inputs'!$A$8</f>
        <v>0</v>
      </c>
      <c r="N45" s="18">
        <f>-IF(AND(N$36&gt;='I2 CBA Inputs'!$F23,N$36&lt;='I2 CBA Inputs'!$G23),'I2 CBA Inputs'!$E23/('I2 CBA Inputs'!$G23-'I2 CBA Inputs'!$F23+1),0)*IF(N$36=0,0,1)*'I2 CBA Inputs'!$A$8</f>
        <v>0</v>
      </c>
      <c r="O45" s="18">
        <f>-IF(AND(O$36&gt;='I2 CBA Inputs'!$F23,O$36&lt;='I2 CBA Inputs'!$G23),'I2 CBA Inputs'!$E23/('I2 CBA Inputs'!$G23-'I2 CBA Inputs'!$F23+1),0)*IF(O$36=0,0,1)*'I2 CBA Inputs'!$A$8</f>
        <v>0</v>
      </c>
      <c r="P45" s="18">
        <f>-IF(AND(P$36&gt;='I2 CBA Inputs'!$F23,P$36&lt;='I2 CBA Inputs'!$G23),'I2 CBA Inputs'!$E23/('I2 CBA Inputs'!$G23-'I2 CBA Inputs'!$F23+1),0)*IF(P$36=0,0,1)*'I2 CBA Inputs'!$A$8</f>
        <v>0</v>
      </c>
      <c r="Q45" s="18">
        <f>-IF(AND(Q$36&gt;='I2 CBA Inputs'!$F23,Q$36&lt;='I2 CBA Inputs'!$G23),'I2 CBA Inputs'!$E23/('I2 CBA Inputs'!$G23-'I2 CBA Inputs'!$F23+1),0)*IF(Q$36=0,0,1)*'I2 CBA Inputs'!$A$8</f>
        <v>0</v>
      </c>
      <c r="R45" s="18">
        <f>-IF(AND(R$36&gt;='I2 CBA Inputs'!$F23,R$36&lt;='I2 CBA Inputs'!$G23),'I2 CBA Inputs'!$E23/('I2 CBA Inputs'!$G23-'I2 CBA Inputs'!$F23+1),0)*IF(R$36=0,0,1)*'I2 CBA Inputs'!$A$8</f>
        <v>0</v>
      </c>
      <c r="S45" s="18">
        <f>-IF(AND(S$36&gt;='I2 CBA Inputs'!$F23,S$36&lt;='I2 CBA Inputs'!$G23),'I2 CBA Inputs'!$E23/('I2 CBA Inputs'!$G23-'I2 CBA Inputs'!$F23+1),0)*IF(S$36=0,0,1)*'I2 CBA Inputs'!$A$8</f>
        <v>0</v>
      </c>
      <c r="T45" s="18">
        <f>-IF(AND(T$36&gt;='I2 CBA Inputs'!$F23,T$36&lt;='I2 CBA Inputs'!$G23),'I2 CBA Inputs'!$E23/('I2 CBA Inputs'!$G23-'I2 CBA Inputs'!$F23+1),0)*IF(T$36=0,0,1)*'I2 CBA Inputs'!$A$8</f>
        <v>0</v>
      </c>
      <c r="U45" s="18">
        <f>-IF(AND(U$36&gt;='I2 CBA Inputs'!$F23,U$36&lt;='I2 CBA Inputs'!$G23),'I2 CBA Inputs'!$E23/('I2 CBA Inputs'!$G23-'I2 CBA Inputs'!$F23+1),0)*IF(U$36=0,0,1)*'I2 CBA Inputs'!$A$8</f>
        <v>0</v>
      </c>
      <c r="V45" s="18">
        <f>-IF(AND(V$36&gt;='I2 CBA Inputs'!$F23,V$36&lt;='I2 CBA Inputs'!$G23),'I2 CBA Inputs'!$E23/('I2 CBA Inputs'!$G23-'I2 CBA Inputs'!$F23+1),0)*IF(V$36=0,0,1)*'I2 CBA Inputs'!$A$8</f>
        <v>0</v>
      </c>
      <c r="W45" s="18">
        <f>-IF(AND(W$36&gt;='I2 CBA Inputs'!$F23,W$36&lt;='I2 CBA Inputs'!$G23),'I2 CBA Inputs'!$E23/('I2 CBA Inputs'!$G23-'I2 CBA Inputs'!$F23+1),0)*IF(W$36=0,0,1)*'I2 CBA Inputs'!$A$8</f>
        <v>0</v>
      </c>
      <c r="X45" s="18">
        <f>-IF(AND(X$36&gt;='I2 CBA Inputs'!$F23,X$36&lt;='I2 CBA Inputs'!$G23),'I2 CBA Inputs'!$E23/('I2 CBA Inputs'!$G23-'I2 CBA Inputs'!$F23+1),0)*IF(X$36=0,0,1)*'I2 CBA Inputs'!$A$8</f>
        <v>0</v>
      </c>
      <c r="Y45" s="18">
        <f>-IF(AND(Y$36&gt;='I2 CBA Inputs'!$F23,Y$36&lt;='I2 CBA Inputs'!$G23),'I2 CBA Inputs'!$E23/('I2 CBA Inputs'!$G23-'I2 CBA Inputs'!$F23+1),0)*IF(Y$36=0,0,1)*'I2 CBA Inputs'!$A$8</f>
        <v>0</v>
      </c>
      <c r="Z45" s="18">
        <f>-IF(AND(Z$36&gt;='I2 CBA Inputs'!$F23,Z$36&lt;='I2 CBA Inputs'!$G23),'I2 CBA Inputs'!$E23/('I2 CBA Inputs'!$G23-'I2 CBA Inputs'!$F23+1),0)*IF(Z$36=0,0,1)*'I2 CBA Inputs'!$A$8</f>
        <v>0</v>
      </c>
      <c r="AA45" s="18">
        <f>-IF(AND(AA$36&gt;='I2 CBA Inputs'!$F23,AA$36&lt;='I2 CBA Inputs'!$G23),'I2 CBA Inputs'!$E23/('I2 CBA Inputs'!$G23-'I2 CBA Inputs'!$F23+1),0)*IF(AA$36=0,0,1)*'I2 CBA Inputs'!$A$8</f>
        <v>0</v>
      </c>
      <c r="AB45" s="18">
        <f>-IF(AND(AB$36&gt;='I2 CBA Inputs'!$F23,AB$36&lt;='I2 CBA Inputs'!$G23),'I2 CBA Inputs'!$E23/('I2 CBA Inputs'!$G23-'I2 CBA Inputs'!$F23+1),0)*IF(AB$36=0,0,1)*'I2 CBA Inputs'!$A$8</f>
        <v>0</v>
      </c>
      <c r="AC45" s="18">
        <f>-IF(AND(AC$36&gt;='I2 CBA Inputs'!$F23,AC$36&lt;='I2 CBA Inputs'!$G23),'I2 CBA Inputs'!$E23/('I2 CBA Inputs'!$G23-'I2 CBA Inputs'!$F23+1),0)*IF(AC$36=0,0,1)*'I2 CBA Inputs'!$A$8</f>
        <v>0</v>
      </c>
      <c r="AD45" s="18">
        <f>-IF(AND(AD$36&gt;='I2 CBA Inputs'!$F23,AD$36&lt;='I2 CBA Inputs'!$G23),'I2 CBA Inputs'!$E23/('I2 CBA Inputs'!$G23-'I2 CBA Inputs'!$F23+1),0)*IF(AD$36=0,0,1)*'I2 CBA Inputs'!$A$8</f>
        <v>0</v>
      </c>
      <c r="AE45" s="18">
        <f>-IF(AND(AE$36&gt;='I2 CBA Inputs'!$F23,AE$36&lt;='I2 CBA Inputs'!$G23),'I2 CBA Inputs'!$E23/('I2 CBA Inputs'!$G23-'I2 CBA Inputs'!$F23+1),0)*IF(AE$36=0,0,1)*'I2 CBA Inputs'!$A$8</f>
        <v>0</v>
      </c>
      <c r="AF45" s="18">
        <f>-IF(AND(AF$36&gt;='I2 CBA Inputs'!$F23,AF$36&lt;='I2 CBA Inputs'!$G23),'I2 CBA Inputs'!$E23/('I2 CBA Inputs'!$G23-'I2 CBA Inputs'!$F23+1),0)*IF(AF$36=0,0,1)*'I2 CBA Inputs'!$A$8</f>
        <v>0</v>
      </c>
      <c r="AG45" s="18">
        <f>-IF(AND(AG$36&gt;='I2 CBA Inputs'!$F23,AG$36&lt;='I2 CBA Inputs'!$G23),'I2 CBA Inputs'!$E23/('I2 CBA Inputs'!$G23-'I2 CBA Inputs'!$F23+1),0)*IF(AG$36=0,0,1)*'I2 CBA Inputs'!$A$8</f>
        <v>0</v>
      </c>
      <c r="AH45" s="18">
        <f>-IF(AND(AH$36&gt;='I2 CBA Inputs'!$F23,AH$36&lt;='I2 CBA Inputs'!$G23),'I2 CBA Inputs'!$E23/('I2 CBA Inputs'!$G23-'I2 CBA Inputs'!$F23+1),0)*IF(AH$36=0,0,1)*'I2 CBA Inputs'!$A$8</f>
        <v>0</v>
      </c>
      <c r="AI45" s="18">
        <f>-IF(AND(AI$36&gt;='I2 CBA Inputs'!$F23,AI$36&lt;='I2 CBA Inputs'!$G23),'I2 CBA Inputs'!$E23/('I2 CBA Inputs'!$G23-'I2 CBA Inputs'!$F23+1),0)*IF(AI$36=0,0,1)*'I2 CBA Inputs'!$A$8</f>
        <v>0</v>
      </c>
      <c r="AJ45" s="18">
        <f>-IF(AND(AJ$36&gt;='I2 CBA Inputs'!$F23,AJ$36&lt;='I2 CBA Inputs'!$G23),'I2 CBA Inputs'!$E23/('I2 CBA Inputs'!$G23-'I2 CBA Inputs'!$F23+1),0)*IF(AJ$36=0,0,1)*'I2 CBA Inputs'!$A$8</f>
        <v>0</v>
      </c>
    </row>
    <row r="46" spans="1:36" x14ac:dyDescent="0.2">
      <c r="A46" s="170"/>
      <c r="B46" s="26">
        <f>+'I2 CBA Inputs'!B24</f>
        <v>6</v>
      </c>
      <c r="C46" s="27" t="str">
        <f>+'I2 CBA Inputs'!C24</f>
        <v>Option 5B</v>
      </c>
      <c r="D46" s="27" t="str">
        <f>+'I2 CBA Inputs'!D24</f>
        <v>Battery</v>
      </c>
      <c r="E46" s="13" t="s">
        <v>35</v>
      </c>
      <c r="F46" s="19">
        <f t="shared" si="15"/>
        <v>-267503417.35615671</v>
      </c>
      <c r="G46" s="18">
        <f>-IF(AND(G$36&gt;='I2 CBA Inputs'!$F24,G$36&lt;='I2 CBA Inputs'!$G24),'I2 CBA Inputs'!$E24/('I2 CBA Inputs'!$G24-'I2 CBA Inputs'!$F24+1),0)*IF(G$36=0,0,1)*'I2 CBA Inputs'!$A$8</f>
        <v>0</v>
      </c>
      <c r="H46" s="18">
        <f>-IF(AND(H$36&gt;='I2 CBA Inputs'!$F24,H$36&lt;='I2 CBA Inputs'!$G24),'I2 CBA Inputs'!$E24/('I2 CBA Inputs'!$G24-'I2 CBA Inputs'!$F24+1),0)*IF(H$36=0,0,1)*'I2 CBA Inputs'!$A$8</f>
        <v>0</v>
      </c>
      <c r="I46" s="18">
        <f>-IF(AND(I$36&gt;='I2 CBA Inputs'!$F24,I$36&lt;='I2 CBA Inputs'!$G24),'I2 CBA Inputs'!$E24/('I2 CBA Inputs'!$G24-'I2 CBA Inputs'!$F24+1),0)*IF(I$36=0,0,1)*'I2 CBA Inputs'!$A$8</f>
        <v>-300000000</v>
      </c>
      <c r="J46" s="18">
        <f>-IF(AND(J$36&gt;='I2 CBA Inputs'!$F24,J$36&lt;='I2 CBA Inputs'!$G24),'I2 CBA Inputs'!$E24/('I2 CBA Inputs'!$G24-'I2 CBA Inputs'!$F24+1),0)*IF(J$36=0,0,1)*'I2 CBA Inputs'!$A$8</f>
        <v>0</v>
      </c>
      <c r="K46" s="18">
        <f>-IF(AND(K$36&gt;='I2 CBA Inputs'!$F24,K$36&lt;='I2 CBA Inputs'!$G24),'I2 CBA Inputs'!$E24/('I2 CBA Inputs'!$G24-'I2 CBA Inputs'!$F24+1),0)*IF(K$36=0,0,1)*'I2 CBA Inputs'!$A$8</f>
        <v>0</v>
      </c>
      <c r="L46" s="18">
        <f>-IF(AND(L$36&gt;='I2 CBA Inputs'!$F24,L$36&lt;='I2 CBA Inputs'!$G24),'I2 CBA Inputs'!$E24/('I2 CBA Inputs'!$G24-'I2 CBA Inputs'!$F24+1),0)*IF(L$36=0,0,1)*'I2 CBA Inputs'!$A$8</f>
        <v>0</v>
      </c>
      <c r="M46" s="18">
        <f>-IF(AND(M$36&gt;='I2 CBA Inputs'!$F24,M$36&lt;='I2 CBA Inputs'!$G24),'I2 CBA Inputs'!$E24/('I2 CBA Inputs'!$G24-'I2 CBA Inputs'!$F24+1),0)*IF(M$36=0,0,1)*'I2 CBA Inputs'!$A$8</f>
        <v>0</v>
      </c>
      <c r="N46" s="18">
        <f>-IF(AND(N$36&gt;='I2 CBA Inputs'!$F24,N$36&lt;='I2 CBA Inputs'!$G24),'I2 CBA Inputs'!$E24/('I2 CBA Inputs'!$G24-'I2 CBA Inputs'!$F24+1),0)*IF(N$36=0,0,1)*'I2 CBA Inputs'!$A$8</f>
        <v>0</v>
      </c>
      <c r="O46" s="18">
        <f>-IF(AND(O$36&gt;='I2 CBA Inputs'!$F24,O$36&lt;='I2 CBA Inputs'!$G24),'I2 CBA Inputs'!$E24/('I2 CBA Inputs'!$G24-'I2 CBA Inputs'!$F24+1),0)*IF(O$36=0,0,1)*'I2 CBA Inputs'!$A$8</f>
        <v>0</v>
      </c>
      <c r="P46" s="18">
        <f>-IF(AND(P$36&gt;='I2 CBA Inputs'!$F24,P$36&lt;='I2 CBA Inputs'!$G24),'I2 CBA Inputs'!$E24/('I2 CBA Inputs'!$G24-'I2 CBA Inputs'!$F24+1),0)*IF(P$36=0,0,1)*'I2 CBA Inputs'!$A$8</f>
        <v>0</v>
      </c>
      <c r="Q46" s="18">
        <f>-IF(AND(Q$36&gt;='I2 CBA Inputs'!$F24,Q$36&lt;='I2 CBA Inputs'!$G24),'I2 CBA Inputs'!$E24/('I2 CBA Inputs'!$G24-'I2 CBA Inputs'!$F24+1),0)*IF(Q$36=0,0,1)*'I2 CBA Inputs'!$A$8</f>
        <v>0</v>
      </c>
      <c r="R46" s="18">
        <f>-IF(AND(R$36&gt;='I2 CBA Inputs'!$F24,R$36&lt;='I2 CBA Inputs'!$G24),'I2 CBA Inputs'!$E24/('I2 CBA Inputs'!$G24-'I2 CBA Inputs'!$F24+1),0)*IF(R$36=0,0,1)*'I2 CBA Inputs'!$A$8</f>
        <v>0</v>
      </c>
      <c r="S46" s="18">
        <f>-IF(AND(S$36&gt;='I2 CBA Inputs'!$F24,S$36&lt;='I2 CBA Inputs'!$G24),'I2 CBA Inputs'!$E24/('I2 CBA Inputs'!$G24-'I2 CBA Inputs'!$F24+1),0)*IF(S$36=0,0,1)*'I2 CBA Inputs'!$A$8</f>
        <v>0</v>
      </c>
      <c r="T46" s="18">
        <f>-IF(AND(T$36&gt;='I2 CBA Inputs'!$F24,T$36&lt;='I2 CBA Inputs'!$G24),'I2 CBA Inputs'!$E24/('I2 CBA Inputs'!$G24-'I2 CBA Inputs'!$F24+1),0)*IF(T$36=0,0,1)*'I2 CBA Inputs'!$A$8</f>
        <v>0</v>
      </c>
      <c r="U46" s="18">
        <f>-IF(AND(U$36&gt;='I2 CBA Inputs'!$F24,U$36&lt;='I2 CBA Inputs'!$G24),'I2 CBA Inputs'!$E24/('I2 CBA Inputs'!$G24-'I2 CBA Inputs'!$F24+1),0)*IF(U$36=0,0,1)*'I2 CBA Inputs'!$A$8</f>
        <v>0</v>
      </c>
      <c r="V46" s="18">
        <f>-IF(AND(V$36&gt;='I2 CBA Inputs'!$F24,V$36&lt;='I2 CBA Inputs'!$G24),'I2 CBA Inputs'!$E24/('I2 CBA Inputs'!$G24-'I2 CBA Inputs'!$F24+1),0)*IF(V$36=0,0,1)*'I2 CBA Inputs'!$A$8</f>
        <v>0</v>
      </c>
      <c r="W46" s="18">
        <f>-IF(AND(W$36&gt;='I2 CBA Inputs'!$F24,W$36&lt;='I2 CBA Inputs'!$G24),'I2 CBA Inputs'!$E24/('I2 CBA Inputs'!$G24-'I2 CBA Inputs'!$F24+1),0)*IF(W$36=0,0,1)*'I2 CBA Inputs'!$A$8</f>
        <v>0</v>
      </c>
      <c r="X46" s="18">
        <f>-IF(AND(X$36&gt;='I2 CBA Inputs'!$F24,X$36&lt;='I2 CBA Inputs'!$G24),'I2 CBA Inputs'!$E24/('I2 CBA Inputs'!$G24-'I2 CBA Inputs'!$F24+1),0)*IF(X$36=0,0,1)*'I2 CBA Inputs'!$A$8</f>
        <v>0</v>
      </c>
      <c r="Y46" s="18">
        <f>-IF(AND(Y$36&gt;='I2 CBA Inputs'!$F24,Y$36&lt;='I2 CBA Inputs'!$G24),'I2 CBA Inputs'!$E24/('I2 CBA Inputs'!$G24-'I2 CBA Inputs'!$F24+1),0)*IF(Y$36=0,0,1)*'I2 CBA Inputs'!$A$8</f>
        <v>0</v>
      </c>
      <c r="Z46" s="18">
        <f>-IF(AND(Z$36&gt;='I2 CBA Inputs'!$F24,Z$36&lt;='I2 CBA Inputs'!$G24),'I2 CBA Inputs'!$E24/('I2 CBA Inputs'!$G24-'I2 CBA Inputs'!$F24+1),0)*IF(Z$36=0,0,1)*'I2 CBA Inputs'!$A$8</f>
        <v>0</v>
      </c>
      <c r="AA46" s="18">
        <f>-IF(AND(AA$36&gt;='I2 CBA Inputs'!$F24,AA$36&lt;='I2 CBA Inputs'!$G24),'I2 CBA Inputs'!$E24/('I2 CBA Inputs'!$G24-'I2 CBA Inputs'!$F24+1),0)*IF(AA$36=0,0,1)*'I2 CBA Inputs'!$A$8</f>
        <v>0</v>
      </c>
      <c r="AB46" s="18">
        <f>-IF(AND(AB$36&gt;='I2 CBA Inputs'!$F24,AB$36&lt;='I2 CBA Inputs'!$G24),'I2 CBA Inputs'!$E24/('I2 CBA Inputs'!$G24-'I2 CBA Inputs'!$F24+1),0)*IF(AB$36=0,0,1)*'I2 CBA Inputs'!$A$8</f>
        <v>0</v>
      </c>
      <c r="AC46" s="18">
        <f>-IF(AND(AC$36&gt;='I2 CBA Inputs'!$F24,AC$36&lt;='I2 CBA Inputs'!$G24),'I2 CBA Inputs'!$E24/('I2 CBA Inputs'!$G24-'I2 CBA Inputs'!$F24+1),0)*IF(AC$36=0,0,1)*'I2 CBA Inputs'!$A$8</f>
        <v>0</v>
      </c>
      <c r="AD46" s="18">
        <f>-IF(AND(AD$36&gt;='I2 CBA Inputs'!$F24,AD$36&lt;='I2 CBA Inputs'!$G24),'I2 CBA Inputs'!$E24/('I2 CBA Inputs'!$G24-'I2 CBA Inputs'!$F24+1),0)*IF(AD$36=0,0,1)*'I2 CBA Inputs'!$A$8</f>
        <v>0</v>
      </c>
      <c r="AE46" s="18">
        <f>-IF(AND(AE$36&gt;='I2 CBA Inputs'!$F24,AE$36&lt;='I2 CBA Inputs'!$G24),'I2 CBA Inputs'!$E24/('I2 CBA Inputs'!$G24-'I2 CBA Inputs'!$F24+1),0)*IF(AE$36=0,0,1)*'I2 CBA Inputs'!$A$8</f>
        <v>0</v>
      </c>
      <c r="AF46" s="18">
        <f>-IF(AND(AF$36&gt;='I2 CBA Inputs'!$F24,AF$36&lt;='I2 CBA Inputs'!$G24),'I2 CBA Inputs'!$E24/('I2 CBA Inputs'!$G24-'I2 CBA Inputs'!$F24+1),0)*IF(AF$36=0,0,1)*'I2 CBA Inputs'!$A$8</f>
        <v>0</v>
      </c>
      <c r="AG46" s="18">
        <f>-IF(AND(AG$36&gt;='I2 CBA Inputs'!$F24,AG$36&lt;='I2 CBA Inputs'!$G24),'I2 CBA Inputs'!$E24/('I2 CBA Inputs'!$G24-'I2 CBA Inputs'!$F24+1),0)*IF(AG$36=0,0,1)*'I2 CBA Inputs'!$A$8</f>
        <v>0</v>
      </c>
      <c r="AH46" s="18">
        <f>-IF(AND(AH$36&gt;='I2 CBA Inputs'!$F24,AH$36&lt;='I2 CBA Inputs'!$G24),'I2 CBA Inputs'!$E24/('I2 CBA Inputs'!$G24-'I2 CBA Inputs'!$F24+1),0)*IF(AH$36=0,0,1)*'I2 CBA Inputs'!$A$8</f>
        <v>0</v>
      </c>
      <c r="AI46" s="18">
        <f>-IF(AND(AI$36&gt;='I2 CBA Inputs'!$F24,AI$36&lt;='I2 CBA Inputs'!$G24),'I2 CBA Inputs'!$E24/('I2 CBA Inputs'!$G24-'I2 CBA Inputs'!$F24+1),0)*IF(AI$36=0,0,1)*'I2 CBA Inputs'!$A$8</f>
        <v>0</v>
      </c>
      <c r="AJ46" s="18">
        <f>-IF(AND(AJ$36&gt;='I2 CBA Inputs'!$F24,AJ$36&lt;='I2 CBA Inputs'!$G24),'I2 CBA Inputs'!$E24/('I2 CBA Inputs'!$G24-'I2 CBA Inputs'!$F24+1),0)*IF(AJ$36=0,0,1)*'I2 CBA Inputs'!$A$8</f>
        <v>0</v>
      </c>
    </row>
    <row r="47" spans="1:36" x14ac:dyDescent="0.2">
      <c r="A47" s="170"/>
      <c r="B47" s="26">
        <f>+'I2 CBA Inputs'!B25</f>
        <v>6</v>
      </c>
      <c r="C47" s="27" t="str">
        <f>+'I2 CBA Inputs'!C25</f>
        <v>Option 5B</v>
      </c>
      <c r="D47" s="27" t="str">
        <f>+'I2 CBA Inputs'!D25</f>
        <v>Battery</v>
      </c>
      <c r="E47" s="13" t="s">
        <v>35</v>
      </c>
      <c r="F47" s="19">
        <f t="shared" si="15"/>
        <v>-45284536.212766804</v>
      </c>
      <c r="G47" s="18">
        <f>-IF(AND(G$36&gt;='I2 CBA Inputs'!$F25,G$36&lt;='I2 CBA Inputs'!$G25),'I2 CBA Inputs'!$E25/('I2 CBA Inputs'!$G25-'I2 CBA Inputs'!$F25+1),0)*IF(G$36=0,0,1)*'I2 CBA Inputs'!$A$8</f>
        <v>0</v>
      </c>
      <c r="H47" s="18">
        <f>-IF(AND(H$36&gt;='I2 CBA Inputs'!$F25,H$36&lt;='I2 CBA Inputs'!$G25),'I2 CBA Inputs'!$E25/('I2 CBA Inputs'!$G25-'I2 CBA Inputs'!$F25+1),0)*IF(H$36=0,0,1)*'I2 CBA Inputs'!$A$8</f>
        <v>0</v>
      </c>
      <c r="I47" s="18">
        <f>-IF(AND(I$36&gt;='I2 CBA Inputs'!$F25,I$36&lt;='I2 CBA Inputs'!$G25),'I2 CBA Inputs'!$E25/('I2 CBA Inputs'!$G25-'I2 CBA Inputs'!$F25+1),0)*IF(I$36=0,0,1)*'I2 CBA Inputs'!$A$8</f>
        <v>0</v>
      </c>
      <c r="J47" s="18">
        <f>-IF(AND(J$36&gt;='I2 CBA Inputs'!$F25,J$36&lt;='I2 CBA Inputs'!$G25),'I2 CBA Inputs'!$E25/('I2 CBA Inputs'!$G25-'I2 CBA Inputs'!$F25+1),0)*IF(J$36=0,0,1)*'I2 CBA Inputs'!$A$8</f>
        <v>0</v>
      </c>
      <c r="K47" s="18">
        <f>-IF(AND(K$36&gt;='I2 CBA Inputs'!$F25,K$36&lt;='I2 CBA Inputs'!$G25),'I2 CBA Inputs'!$E25/('I2 CBA Inputs'!$G25-'I2 CBA Inputs'!$F25+1),0)*IF(K$36=0,0,1)*'I2 CBA Inputs'!$A$8</f>
        <v>0</v>
      </c>
      <c r="L47" s="18">
        <f>-IF(AND(L$36&gt;='I2 CBA Inputs'!$F25,L$36&lt;='I2 CBA Inputs'!$G25),'I2 CBA Inputs'!$E25/('I2 CBA Inputs'!$G25-'I2 CBA Inputs'!$F25+1),0)*IF(L$36=0,0,1)*'I2 CBA Inputs'!$A$8</f>
        <v>0</v>
      </c>
      <c r="M47" s="18">
        <f>-IF(AND(M$36&gt;='I2 CBA Inputs'!$F25,M$36&lt;='I2 CBA Inputs'!$G25),'I2 CBA Inputs'!$E25/('I2 CBA Inputs'!$G25-'I2 CBA Inputs'!$F25+1),0)*IF(M$36=0,0,1)*'I2 CBA Inputs'!$A$8</f>
        <v>0</v>
      </c>
      <c r="N47" s="18">
        <f>-IF(AND(N$36&gt;='I2 CBA Inputs'!$F25,N$36&lt;='I2 CBA Inputs'!$G25),'I2 CBA Inputs'!$E25/('I2 CBA Inputs'!$G25-'I2 CBA Inputs'!$F25+1),0)*IF(N$36=0,0,1)*'I2 CBA Inputs'!$A$8</f>
        <v>0</v>
      </c>
      <c r="O47" s="18">
        <f>-IF(AND(O$36&gt;='I2 CBA Inputs'!$F25,O$36&lt;='I2 CBA Inputs'!$G25),'I2 CBA Inputs'!$E25/('I2 CBA Inputs'!$G25-'I2 CBA Inputs'!$F25+1),0)*IF(O$36=0,0,1)*'I2 CBA Inputs'!$A$8</f>
        <v>0</v>
      </c>
      <c r="P47" s="18">
        <f>-IF(AND(P$36&gt;='I2 CBA Inputs'!$F25,P$36&lt;='I2 CBA Inputs'!$G25),'I2 CBA Inputs'!$E25/('I2 CBA Inputs'!$G25-'I2 CBA Inputs'!$F25+1),0)*IF(P$36=0,0,1)*'I2 CBA Inputs'!$A$8</f>
        <v>0</v>
      </c>
      <c r="Q47" s="18">
        <f>-IF(AND(Q$36&gt;='I2 CBA Inputs'!$F25,Q$36&lt;='I2 CBA Inputs'!$G25),'I2 CBA Inputs'!$E25/('I2 CBA Inputs'!$G25-'I2 CBA Inputs'!$F25+1),0)*IF(Q$36=0,0,1)*'I2 CBA Inputs'!$A$8</f>
        <v>0</v>
      </c>
      <c r="R47" s="18">
        <f>-IF(AND(R$36&gt;='I2 CBA Inputs'!$F25,R$36&lt;='I2 CBA Inputs'!$G25),'I2 CBA Inputs'!$E25/('I2 CBA Inputs'!$G25-'I2 CBA Inputs'!$F25+1),0)*IF(R$36=0,0,1)*'I2 CBA Inputs'!$A$8</f>
        <v>0</v>
      </c>
      <c r="S47" s="18">
        <f>-IF(AND(S$36&gt;='I2 CBA Inputs'!$F25,S$36&lt;='I2 CBA Inputs'!$G25),'I2 CBA Inputs'!$E25/('I2 CBA Inputs'!$G25-'I2 CBA Inputs'!$F25+1),0)*IF(S$36=0,0,1)*'I2 CBA Inputs'!$A$8</f>
        <v>0</v>
      </c>
      <c r="T47" s="18">
        <f>-IF(AND(T$36&gt;='I2 CBA Inputs'!$F25,T$36&lt;='I2 CBA Inputs'!$G25),'I2 CBA Inputs'!$E25/('I2 CBA Inputs'!$G25-'I2 CBA Inputs'!$F25+1),0)*IF(T$36=0,0,1)*'I2 CBA Inputs'!$A$8</f>
        <v>0</v>
      </c>
      <c r="U47" s="18">
        <f>-IF(AND(U$36&gt;='I2 CBA Inputs'!$F25,U$36&lt;='I2 CBA Inputs'!$G25),'I2 CBA Inputs'!$E25/('I2 CBA Inputs'!$G25-'I2 CBA Inputs'!$F25+1),0)*IF(U$36=0,0,1)*'I2 CBA Inputs'!$A$8</f>
        <v>0</v>
      </c>
      <c r="V47" s="18">
        <f>-IF(AND(V$36&gt;='I2 CBA Inputs'!$F25,V$36&lt;='I2 CBA Inputs'!$G25),'I2 CBA Inputs'!$E25/('I2 CBA Inputs'!$G25-'I2 CBA Inputs'!$F25+1),0)*IF(V$36=0,0,1)*'I2 CBA Inputs'!$A$8</f>
        <v>0</v>
      </c>
      <c r="W47" s="18">
        <f>-IF(AND(W$36&gt;='I2 CBA Inputs'!$F25,W$36&lt;='I2 CBA Inputs'!$G25),'I2 CBA Inputs'!$E25/('I2 CBA Inputs'!$G25-'I2 CBA Inputs'!$F25+1),0)*IF(W$36=0,0,1)*'I2 CBA Inputs'!$A$8</f>
        <v>0</v>
      </c>
      <c r="X47" s="18">
        <f>-IF(AND(X$36&gt;='I2 CBA Inputs'!$F25,X$36&lt;='I2 CBA Inputs'!$G25),'I2 CBA Inputs'!$E25/('I2 CBA Inputs'!$G25-'I2 CBA Inputs'!$F25+1),0)*IF(X$36=0,0,1)*'I2 CBA Inputs'!$A$8</f>
        <v>-120000000</v>
      </c>
      <c r="Y47" s="18">
        <f>-IF(AND(Y$36&gt;='I2 CBA Inputs'!$F25,Y$36&lt;='I2 CBA Inputs'!$G25),'I2 CBA Inputs'!$E25/('I2 CBA Inputs'!$G25-'I2 CBA Inputs'!$F25+1),0)*IF(Y$36=0,0,1)*'I2 CBA Inputs'!$A$8</f>
        <v>0</v>
      </c>
      <c r="Z47" s="18">
        <f>-IF(AND(Z$36&gt;='I2 CBA Inputs'!$F25,Z$36&lt;='I2 CBA Inputs'!$G25),'I2 CBA Inputs'!$E25/('I2 CBA Inputs'!$G25-'I2 CBA Inputs'!$F25+1),0)*IF(Z$36=0,0,1)*'I2 CBA Inputs'!$A$8</f>
        <v>0</v>
      </c>
      <c r="AA47" s="18">
        <f>-IF(AND(AA$36&gt;='I2 CBA Inputs'!$F25,AA$36&lt;='I2 CBA Inputs'!$G25),'I2 CBA Inputs'!$E25/('I2 CBA Inputs'!$G25-'I2 CBA Inputs'!$F25+1),0)*IF(AA$36=0,0,1)*'I2 CBA Inputs'!$A$8</f>
        <v>0</v>
      </c>
      <c r="AB47" s="18">
        <f>-IF(AND(AB$36&gt;='I2 CBA Inputs'!$F25,AB$36&lt;='I2 CBA Inputs'!$G25),'I2 CBA Inputs'!$E25/('I2 CBA Inputs'!$G25-'I2 CBA Inputs'!$F25+1),0)*IF(AB$36=0,0,1)*'I2 CBA Inputs'!$A$8</f>
        <v>0</v>
      </c>
      <c r="AC47" s="18">
        <f>-IF(AND(AC$36&gt;='I2 CBA Inputs'!$F25,AC$36&lt;='I2 CBA Inputs'!$G25),'I2 CBA Inputs'!$E25/('I2 CBA Inputs'!$G25-'I2 CBA Inputs'!$F25+1),0)*IF(AC$36=0,0,1)*'I2 CBA Inputs'!$A$8</f>
        <v>0</v>
      </c>
      <c r="AD47" s="18">
        <f>-IF(AND(AD$36&gt;='I2 CBA Inputs'!$F25,AD$36&lt;='I2 CBA Inputs'!$G25),'I2 CBA Inputs'!$E25/('I2 CBA Inputs'!$G25-'I2 CBA Inputs'!$F25+1),0)*IF(AD$36=0,0,1)*'I2 CBA Inputs'!$A$8</f>
        <v>0</v>
      </c>
      <c r="AE47" s="18">
        <f>-IF(AND(AE$36&gt;='I2 CBA Inputs'!$F25,AE$36&lt;='I2 CBA Inputs'!$G25),'I2 CBA Inputs'!$E25/('I2 CBA Inputs'!$G25-'I2 CBA Inputs'!$F25+1),0)*IF(AE$36=0,0,1)*'I2 CBA Inputs'!$A$8</f>
        <v>0</v>
      </c>
      <c r="AF47" s="18">
        <f>-IF(AND(AF$36&gt;='I2 CBA Inputs'!$F25,AF$36&lt;='I2 CBA Inputs'!$G25),'I2 CBA Inputs'!$E25/('I2 CBA Inputs'!$G25-'I2 CBA Inputs'!$F25+1),0)*IF(AF$36=0,0,1)*'I2 CBA Inputs'!$A$8</f>
        <v>0</v>
      </c>
      <c r="AG47" s="18">
        <f>-IF(AND(AG$36&gt;='I2 CBA Inputs'!$F25,AG$36&lt;='I2 CBA Inputs'!$G25),'I2 CBA Inputs'!$E25/('I2 CBA Inputs'!$G25-'I2 CBA Inputs'!$F25+1),0)*IF(AG$36=0,0,1)*'I2 CBA Inputs'!$A$8</f>
        <v>0</v>
      </c>
      <c r="AH47" s="18">
        <f>-IF(AND(AH$36&gt;='I2 CBA Inputs'!$F25,AH$36&lt;='I2 CBA Inputs'!$G25),'I2 CBA Inputs'!$E25/('I2 CBA Inputs'!$G25-'I2 CBA Inputs'!$F25+1),0)*IF(AH$36=0,0,1)*'I2 CBA Inputs'!$A$8</f>
        <v>0</v>
      </c>
      <c r="AI47" s="18">
        <f>-IF(AND(AI$36&gt;='I2 CBA Inputs'!$F25,AI$36&lt;='I2 CBA Inputs'!$G25),'I2 CBA Inputs'!$E25/('I2 CBA Inputs'!$G25-'I2 CBA Inputs'!$F25+1),0)*IF(AI$36=0,0,1)*'I2 CBA Inputs'!$A$8</f>
        <v>0</v>
      </c>
      <c r="AJ47" s="18">
        <f>-IF(AND(AJ$36&gt;='I2 CBA Inputs'!$F25,AJ$36&lt;='I2 CBA Inputs'!$G25),'I2 CBA Inputs'!$E25/('I2 CBA Inputs'!$G25-'I2 CBA Inputs'!$F25+1),0)*IF(AJ$36=0,0,1)*'I2 CBA Inputs'!$A$8</f>
        <v>0</v>
      </c>
    </row>
    <row r="48" spans="1:36" x14ac:dyDescent="0.2">
      <c r="A48" s="170"/>
      <c r="B48" s="26">
        <f>+'I2 CBA Inputs'!B26</f>
        <v>6</v>
      </c>
      <c r="C48" s="27" t="str">
        <f>+'I2 CBA Inputs'!C26</f>
        <v>Option 5B</v>
      </c>
      <c r="D48" s="27" t="str">
        <f>+'I2 CBA Inputs'!D26</f>
        <v>Connection assets</v>
      </c>
      <c r="E48" s="13" t="s">
        <v>35</v>
      </c>
      <c r="F48" s="19">
        <f t="shared" si="15"/>
        <v>-36558800.372008078</v>
      </c>
      <c r="G48" s="18">
        <f>-IF(AND(G$36&gt;='I2 CBA Inputs'!$F26,G$36&lt;='I2 CBA Inputs'!$G26),'I2 CBA Inputs'!$E26/('I2 CBA Inputs'!$G26-'I2 CBA Inputs'!$F26+1),0)*IF(G$36=0,0,1)*'I2 CBA Inputs'!$A$8</f>
        <v>0</v>
      </c>
      <c r="H48" s="18">
        <f>-IF(AND(H$36&gt;='I2 CBA Inputs'!$F26,H$36&lt;='I2 CBA Inputs'!$G26),'I2 CBA Inputs'!$E26/('I2 CBA Inputs'!$G26-'I2 CBA Inputs'!$F26+1),0)*IF(H$36=0,0,1)*'I2 CBA Inputs'!$A$8</f>
        <v>0</v>
      </c>
      <c r="I48" s="18">
        <f>-IF(AND(I$36&gt;='I2 CBA Inputs'!$F26,I$36&lt;='I2 CBA Inputs'!$G26),'I2 CBA Inputs'!$E26/('I2 CBA Inputs'!$G26-'I2 CBA Inputs'!$F26+1),0)*IF(I$36=0,0,1)*'I2 CBA Inputs'!$A$8</f>
        <v>-41000000</v>
      </c>
      <c r="J48" s="18">
        <f>-IF(AND(J$36&gt;='I2 CBA Inputs'!$F26,J$36&lt;='I2 CBA Inputs'!$G26),'I2 CBA Inputs'!$E26/('I2 CBA Inputs'!$G26-'I2 CBA Inputs'!$F26+1),0)*IF(J$36=0,0,1)*'I2 CBA Inputs'!$A$8</f>
        <v>0</v>
      </c>
      <c r="K48" s="18">
        <f>-IF(AND(K$36&gt;='I2 CBA Inputs'!$F26,K$36&lt;='I2 CBA Inputs'!$G26),'I2 CBA Inputs'!$E26/('I2 CBA Inputs'!$G26-'I2 CBA Inputs'!$F26+1),0)*IF(K$36=0,0,1)*'I2 CBA Inputs'!$A$8</f>
        <v>0</v>
      </c>
      <c r="L48" s="18">
        <f>-IF(AND(L$36&gt;='I2 CBA Inputs'!$F26,L$36&lt;='I2 CBA Inputs'!$G26),'I2 CBA Inputs'!$E26/('I2 CBA Inputs'!$G26-'I2 CBA Inputs'!$F26+1),0)*IF(L$36=0,0,1)*'I2 CBA Inputs'!$A$8</f>
        <v>0</v>
      </c>
      <c r="M48" s="18">
        <f>-IF(AND(M$36&gt;='I2 CBA Inputs'!$F26,M$36&lt;='I2 CBA Inputs'!$G26),'I2 CBA Inputs'!$E26/('I2 CBA Inputs'!$G26-'I2 CBA Inputs'!$F26+1),0)*IF(M$36=0,0,1)*'I2 CBA Inputs'!$A$8</f>
        <v>0</v>
      </c>
      <c r="N48" s="18">
        <f>-IF(AND(N$36&gt;='I2 CBA Inputs'!$F26,N$36&lt;='I2 CBA Inputs'!$G26),'I2 CBA Inputs'!$E26/('I2 CBA Inputs'!$G26-'I2 CBA Inputs'!$F26+1),0)*IF(N$36=0,0,1)*'I2 CBA Inputs'!$A$8</f>
        <v>0</v>
      </c>
      <c r="O48" s="18">
        <f>-IF(AND(O$36&gt;='I2 CBA Inputs'!$F26,O$36&lt;='I2 CBA Inputs'!$G26),'I2 CBA Inputs'!$E26/('I2 CBA Inputs'!$G26-'I2 CBA Inputs'!$F26+1),0)*IF(O$36=0,0,1)*'I2 CBA Inputs'!$A$8</f>
        <v>0</v>
      </c>
      <c r="P48" s="18">
        <f>-IF(AND(P$36&gt;='I2 CBA Inputs'!$F26,P$36&lt;='I2 CBA Inputs'!$G26),'I2 CBA Inputs'!$E26/('I2 CBA Inputs'!$G26-'I2 CBA Inputs'!$F26+1),0)*IF(P$36=0,0,1)*'I2 CBA Inputs'!$A$8</f>
        <v>0</v>
      </c>
      <c r="Q48" s="18">
        <f>-IF(AND(Q$36&gt;='I2 CBA Inputs'!$F26,Q$36&lt;='I2 CBA Inputs'!$G26),'I2 CBA Inputs'!$E26/('I2 CBA Inputs'!$G26-'I2 CBA Inputs'!$F26+1),0)*IF(Q$36=0,0,1)*'I2 CBA Inputs'!$A$8</f>
        <v>0</v>
      </c>
      <c r="R48" s="18">
        <f>-IF(AND(R$36&gt;='I2 CBA Inputs'!$F26,R$36&lt;='I2 CBA Inputs'!$G26),'I2 CBA Inputs'!$E26/('I2 CBA Inputs'!$G26-'I2 CBA Inputs'!$F26+1),0)*IF(R$36=0,0,1)*'I2 CBA Inputs'!$A$8</f>
        <v>0</v>
      </c>
      <c r="S48" s="18">
        <f>-IF(AND(S$36&gt;='I2 CBA Inputs'!$F26,S$36&lt;='I2 CBA Inputs'!$G26),'I2 CBA Inputs'!$E26/('I2 CBA Inputs'!$G26-'I2 CBA Inputs'!$F26+1),0)*IF(S$36=0,0,1)*'I2 CBA Inputs'!$A$8</f>
        <v>0</v>
      </c>
      <c r="T48" s="18">
        <f>-IF(AND(T$36&gt;='I2 CBA Inputs'!$F26,T$36&lt;='I2 CBA Inputs'!$G26),'I2 CBA Inputs'!$E26/('I2 CBA Inputs'!$G26-'I2 CBA Inputs'!$F26+1),0)*IF(T$36=0,0,1)*'I2 CBA Inputs'!$A$8</f>
        <v>0</v>
      </c>
      <c r="U48" s="18">
        <f>-IF(AND(U$36&gt;='I2 CBA Inputs'!$F26,U$36&lt;='I2 CBA Inputs'!$G26),'I2 CBA Inputs'!$E26/('I2 CBA Inputs'!$G26-'I2 CBA Inputs'!$F26+1),0)*IF(U$36=0,0,1)*'I2 CBA Inputs'!$A$8</f>
        <v>0</v>
      </c>
      <c r="V48" s="18">
        <f>-IF(AND(V$36&gt;='I2 CBA Inputs'!$F26,V$36&lt;='I2 CBA Inputs'!$G26),'I2 CBA Inputs'!$E26/('I2 CBA Inputs'!$G26-'I2 CBA Inputs'!$F26+1),0)*IF(V$36=0,0,1)*'I2 CBA Inputs'!$A$8</f>
        <v>0</v>
      </c>
      <c r="W48" s="18">
        <f>-IF(AND(W$36&gt;='I2 CBA Inputs'!$F26,W$36&lt;='I2 CBA Inputs'!$G26),'I2 CBA Inputs'!$E26/('I2 CBA Inputs'!$G26-'I2 CBA Inputs'!$F26+1),0)*IF(W$36=0,0,1)*'I2 CBA Inputs'!$A$8</f>
        <v>0</v>
      </c>
      <c r="X48" s="18">
        <f>-IF(AND(X$36&gt;='I2 CBA Inputs'!$F26,X$36&lt;='I2 CBA Inputs'!$G26),'I2 CBA Inputs'!$E26/('I2 CBA Inputs'!$G26-'I2 CBA Inputs'!$F26+1),0)*IF(X$36=0,0,1)*'I2 CBA Inputs'!$A$8</f>
        <v>0</v>
      </c>
      <c r="Y48" s="18">
        <f>-IF(AND(Y$36&gt;='I2 CBA Inputs'!$F26,Y$36&lt;='I2 CBA Inputs'!$G26),'I2 CBA Inputs'!$E26/('I2 CBA Inputs'!$G26-'I2 CBA Inputs'!$F26+1),0)*IF(Y$36=0,0,1)*'I2 CBA Inputs'!$A$8</f>
        <v>0</v>
      </c>
      <c r="Z48" s="18">
        <f>-IF(AND(Z$36&gt;='I2 CBA Inputs'!$F26,Z$36&lt;='I2 CBA Inputs'!$G26),'I2 CBA Inputs'!$E26/('I2 CBA Inputs'!$G26-'I2 CBA Inputs'!$F26+1),0)*IF(Z$36=0,0,1)*'I2 CBA Inputs'!$A$8</f>
        <v>0</v>
      </c>
      <c r="AA48" s="18">
        <f>-IF(AND(AA$36&gt;='I2 CBA Inputs'!$F26,AA$36&lt;='I2 CBA Inputs'!$G26),'I2 CBA Inputs'!$E26/('I2 CBA Inputs'!$G26-'I2 CBA Inputs'!$F26+1),0)*IF(AA$36=0,0,1)*'I2 CBA Inputs'!$A$8</f>
        <v>0</v>
      </c>
      <c r="AB48" s="18">
        <f>-IF(AND(AB$36&gt;='I2 CBA Inputs'!$F26,AB$36&lt;='I2 CBA Inputs'!$G26),'I2 CBA Inputs'!$E26/('I2 CBA Inputs'!$G26-'I2 CBA Inputs'!$F26+1),0)*IF(AB$36=0,0,1)*'I2 CBA Inputs'!$A$8</f>
        <v>0</v>
      </c>
      <c r="AC48" s="18">
        <f>-IF(AND(AC$36&gt;='I2 CBA Inputs'!$F26,AC$36&lt;='I2 CBA Inputs'!$G26),'I2 CBA Inputs'!$E26/('I2 CBA Inputs'!$G26-'I2 CBA Inputs'!$F26+1),0)*IF(AC$36=0,0,1)*'I2 CBA Inputs'!$A$8</f>
        <v>0</v>
      </c>
      <c r="AD48" s="18">
        <f>-IF(AND(AD$36&gt;='I2 CBA Inputs'!$F26,AD$36&lt;='I2 CBA Inputs'!$G26),'I2 CBA Inputs'!$E26/('I2 CBA Inputs'!$G26-'I2 CBA Inputs'!$F26+1),0)*IF(AD$36=0,0,1)*'I2 CBA Inputs'!$A$8</f>
        <v>0</v>
      </c>
      <c r="AE48" s="18">
        <f>-IF(AND(AE$36&gt;='I2 CBA Inputs'!$F26,AE$36&lt;='I2 CBA Inputs'!$G26),'I2 CBA Inputs'!$E26/('I2 CBA Inputs'!$G26-'I2 CBA Inputs'!$F26+1),0)*IF(AE$36=0,0,1)*'I2 CBA Inputs'!$A$8</f>
        <v>0</v>
      </c>
      <c r="AF48" s="18">
        <f>-IF(AND(AF$36&gt;='I2 CBA Inputs'!$F26,AF$36&lt;='I2 CBA Inputs'!$G26),'I2 CBA Inputs'!$E26/('I2 CBA Inputs'!$G26-'I2 CBA Inputs'!$F26+1),0)*IF(AF$36=0,0,1)*'I2 CBA Inputs'!$A$8</f>
        <v>0</v>
      </c>
      <c r="AG48" s="18">
        <f>-IF(AND(AG$36&gt;='I2 CBA Inputs'!$F26,AG$36&lt;='I2 CBA Inputs'!$G26),'I2 CBA Inputs'!$E26/('I2 CBA Inputs'!$G26-'I2 CBA Inputs'!$F26+1),0)*IF(AG$36=0,0,1)*'I2 CBA Inputs'!$A$8</f>
        <v>0</v>
      </c>
      <c r="AH48" s="18">
        <f>-IF(AND(AH$36&gt;='I2 CBA Inputs'!$F26,AH$36&lt;='I2 CBA Inputs'!$G26),'I2 CBA Inputs'!$E26/('I2 CBA Inputs'!$G26-'I2 CBA Inputs'!$F26+1),0)*IF(AH$36=0,0,1)*'I2 CBA Inputs'!$A$8</f>
        <v>0</v>
      </c>
      <c r="AI48" s="18">
        <f>-IF(AND(AI$36&gt;='I2 CBA Inputs'!$F26,AI$36&lt;='I2 CBA Inputs'!$G26),'I2 CBA Inputs'!$E26/('I2 CBA Inputs'!$G26-'I2 CBA Inputs'!$F26+1),0)*IF(AI$36=0,0,1)*'I2 CBA Inputs'!$A$8</f>
        <v>0</v>
      </c>
      <c r="AJ48" s="18">
        <f>-IF(AND(AJ$36&gt;='I2 CBA Inputs'!$F26,AJ$36&lt;='I2 CBA Inputs'!$G26),'I2 CBA Inputs'!$E26/('I2 CBA Inputs'!$G26-'I2 CBA Inputs'!$F26+1),0)*IF(AJ$36=0,0,1)*'I2 CBA Inputs'!$A$8</f>
        <v>0</v>
      </c>
    </row>
    <row r="50" spans="1:36" ht="15.75" x14ac:dyDescent="0.25">
      <c r="B50" s="5" t="s">
        <v>47</v>
      </c>
      <c r="C50" s="30"/>
      <c r="D50" s="30"/>
      <c r="E50" s="5"/>
      <c r="F50" s="19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</row>
    <row r="51" spans="1:36" ht="15.75" x14ac:dyDescent="0.25">
      <c r="B51" s="7" t="str">
        <f t="shared" ref="B51:C63" si="16">+B36</f>
        <v>Number</v>
      </c>
      <c r="C51" s="11" t="str">
        <f t="shared" si="16"/>
        <v>Option name</v>
      </c>
      <c r="D51" s="11" t="s">
        <v>59</v>
      </c>
      <c r="E51" s="8" t="str">
        <f>+E36</f>
        <v>Units</v>
      </c>
      <c r="F51" s="8" t="str">
        <f>+F36</f>
        <v>PV</v>
      </c>
      <c r="G51" s="7">
        <f t="shared" ref="G51:AJ51" si="17">G$7</f>
        <v>2020</v>
      </c>
      <c r="H51" s="7">
        <f t="shared" si="17"/>
        <v>2021</v>
      </c>
      <c r="I51" s="7">
        <f t="shared" si="17"/>
        <v>2022</v>
      </c>
      <c r="J51" s="7">
        <f t="shared" si="17"/>
        <v>2023</v>
      </c>
      <c r="K51" s="7">
        <f t="shared" si="17"/>
        <v>2024</v>
      </c>
      <c r="L51" s="7">
        <f t="shared" si="17"/>
        <v>2025</v>
      </c>
      <c r="M51" s="7">
        <f t="shared" si="17"/>
        <v>2026</v>
      </c>
      <c r="N51" s="7">
        <f t="shared" si="17"/>
        <v>2027</v>
      </c>
      <c r="O51" s="7">
        <f t="shared" si="17"/>
        <v>2028</v>
      </c>
      <c r="P51" s="7">
        <f t="shared" si="17"/>
        <v>2029</v>
      </c>
      <c r="Q51" s="7">
        <f t="shared" si="17"/>
        <v>2030</v>
      </c>
      <c r="R51" s="7">
        <f t="shared" si="17"/>
        <v>2031</v>
      </c>
      <c r="S51" s="7">
        <f t="shared" si="17"/>
        <v>2032</v>
      </c>
      <c r="T51" s="7">
        <f t="shared" si="17"/>
        <v>2033</v>
      </c>
      <c r="U51" s="7">
        <f t="shared" si="17"/>
        <v>2034</v>
      </c>
      <c r="V51" s="7">
        <f t="shared" si="17"/>
        <v>2035</v>
      </c>
      <c r="W51" s="7">
        <f t="shared" si="17"/>
        <v>2036</v>
      </c>
      <c r="X51" s="7">
        <f t="shared" si="17"/>
        <v>2037</v>
      </c>
      <c r="Y51" s="7">
        <f t="shared" si="17"/>
        <v>2038</v>
      </c>
      <c r="Z51" s="7">
        <f t="shared" si="17"/>
        <v>2039</v>
      </c>
      <c r="AA51" s="7">
        <f t="shared" si="17"/>
        <v>2040</v>
      </c>
      <c r="AB51" s="7">
        <f t="shared" si="17"/>
        <v>2041</v>
      </c>
      <c r="AC51" s="7">
        <f t="shared" si="17"/>
        <v>2042</v>
      </c>
      <c r="AD51" s="7">
        <f t="shared" si="17"/>
        <v>2043</v>
      </c>
      <c r="AE51" s="7">
        <f t="shared" si="17"/>
        <v>2044</v>
      </c>
      <c r="AF51" s="7">
        <f t="shared" si="17"/>
        <v>2045</v>
      </c>
      <c r="AG51" s="7">
        <f t="shared" si="17"/>
        <v>0</v>
      </c>
      <c r="AH51" s="7">
        <f t="shared" si="17"/>
        <v>0</v>
      </c>
      <c r="AI51" s="7">
        <f t="shared" si="17"/>
        <v>0</v>
      </c>
      <c r="AJ51" s="7">
        <f t="shared" si="17"/>
        <v>0</v>
      </c>
    </row>
    <row r="52" spans="1:36" x14ac:dyDescent="0.2">
      <c r="B52" s="9">
        <f t="shared" si="16"/>
        <v>0</v>
      </c>
      <c r="C52" s="28" t="str">
        <f t="shared" si="16"/>
        <v>Base case</v>
      </c>
      <c r="D52" s="28">
        <f t="shared" ref="D52:D63" si="18">+D37</f>
        <v>0</v>
      </c>
      <c r="E52" s="13" t="s">
        <v>35</v>
      </c>
      <c r="F52" s="19">
        <f t="shared" ref="F52:F63" si="19">NPV(DiscountRate,G52:AJ52)/(1+DiscountRate)^(FirstYear-BaseYear-2)</f>
        <v>0</v>
      </c>
      <c r="G52" s="18">
        <f>IFERROR(IF(G$51&gt;='I2 CBA Inputs'!$H15,MAX('I2 CBA Inputs'!$E15-'I2 CBA Inputs'!$E15/'I2 CBA Inputs'!$I15*(G$51-'I2 CBA Inputs'!$H15+1),0),0)*IF(G$51=FirstYear+AnalysisPeriod-1,1,0),0)*'I2 CBA Inputs'!$A$8</f>
        <v>0</v>
      </c>
      <c r="H52" s="18">
        <f>IFERROR(IF(H$51&gt;='I2 CBA Inputs'!$H15,MAX('I2 CBA Inputs'!$E15-'I2 CBA Inputs'!$E15/'I2 CBA Inputs'!$I15*(H$51-'I2 CBA Inputs'!$H15+1),0),0)*IF(H$51=FirstYear+AnalysisPeriod-1,1,0),0)*'I2 CBA Inputs'!$A$8</f>
        <v>0</v>
      </c>
      <c r="I52" s="18">
        <f>IFERROR(IF(I$51&gt;='I2 CBA Inputs'!$H15,MAX('I2 CBA Inputs'!$E15-'I2 CBA Inputs'!$E15/'I2 CBA Inputs'!$I15*(I$51-'I2 CBA Inputs'!$H15+1),0),0)*IF(I$51=FirstYear+AnalysisPeriod-1,1,0),0)*'I2 CBA Inputs'!$A$8</f>
        <v>0</v>
      </c>
      <c r="J52" s="18">
        <f>IFERROR(IF(J$51&gt;='I2 CBA Inputs'!$H15,MAX('I2 CBA Inputs'!$E15-'I2 CBA Inputs'!$E15/'I2 CBA Inputs'!$I15*(J$51-'I2 CBA Inputs'!$H15+1),0),0)*IF(J$51=FirstYear+AnalysisPeriod-1,1,0),0)*'I2 CBA Inputs'!$A$8</f>
        <v>0</v>
      </c>
      <c r="K52" s="18">
        <f>IFERROR(IF(K$51&gt;='I2 CBA Inputs'!$H15,MAX('I2 CBA Inputs'!$E15-'I2 CBA Inputs'!$E15/'I2 CBA Inputs'!$I15*(K$51-'I2 CBA Inputs'!$H15+1),0),0)*IF(K$51=FirstYear+AnalysisPeriod-1,1,0),0)*'I2 CBA Inputs'!$A$8</f>
        <v>0</v>
      </c>
      <c r="L52" s="18">
        <f>IFERROR(IF(L$51&gt;='I2 CBA Inputs'!$H15,MAX('I2 CBA Inputs'!$E15-'I2 CBA Inputs'!$E15/'I2 CBA Inputs'!$I15*(L$51-'I2 CBA Inputs'!$H15+1),0),0)*IF(L$51=FirstYear+AnalysisPeriod-1,1,0),0)*'I2 CBA Inputs'!$A$8</f>
        <v>0</v>
      </c>
      <c r="M52" s="18">
        <f>IFERROR(IF(M$51&gt;='I2 CBA Inputs'!$H15,MAX('I2 CBA Inputs'!$E15-'I2 CBA Inputs'!$E15/'I2 CBA Inputs'!$I15*(M$51-'I2 CBA Inputs'!$H15+1),0),0)*IF(M$51=FirstYear+AnalysisPeriod-1,1,0),0)*'I2 CBA Inputs'!$A$8</f>
        <v>0</v>
      </c>
      <c r="N52" s="18">
        <f>IFERROR(IF(N$51&gt;='I2 CBA Inputs'!$H15,MAX('I2 CBA Inputs'!$E15-'I2 CBA Inputs'!$E15/'I2 CBA Inputs'!$I15*(N$51-'I2 CBA Inputs'!$H15+1),0),0)*IF(N$51=FirstYear+AnalysisPeriod-1,1,0),0)*'I2 CBA Inputs'!$A$8</f>
        <v>0</v>
      </c>
      <c r="O52" s="18">
        <f>IFERROR(IF(O$51&gt;='I2 CBA Inputs'!$H15,MAX('I2 CBA Inputs'!$E15-'I2 CBA Inputs'!$E15/'I2 CBA Inputs'!$I15*(O$51-'I2 CBA Inputs'!$H15+1),0),0)*IF(O$51=FirstYear+AnalysisPeriod-1,1,0),0)*'I2 CBA Inputs'!$A$8</f>
        <v>0</v>
      </c>
      <c r="P52" s="18">
        <f>IFERROR(IF(P$51&gt;='I2 CBA Inputs'!$H15,MAX('I2 CBA Inputs'!$E15-'I2 CBA Inputs'!$E15/'I2 CBA Inputs'!$I15*(P$51-'I2 CBA Inputs'!$H15+1),0),0)*IF(P$51=FirstYear+AnalysisPeriod-1,1,0),0)*'I2 CBA Inputs'!$A$8</f>
        <v>0</v>
      </c>
      <c r="Q52" s="18">
        <f>IFERROR(IF(Q$51&gt;='I2 CBA Inputs'!$H15,MAX('I2 CBA Inputs'!$E15-'I2 CBA Inputs'!$E15/'I2 CBA Inputs'!$I15*(Q$51-'I2 CBA Inputs'!$H15+1),0),0)*IF(Q$51=FirstYear+AnalysisPeriod-1,1,0),0)*'I2 CBA Inputs'!$A$8</f>
        <v>0</v>
      </c>
      <c r="R52" s="18">
        <f>IFERROR(IF(R$51&gt;='I2 CBA Inputs'!$H15,MAX('I2 CBA Inputs'!$E15-'I2 CBA Inputs'!$E15/'I2 CBA Inputs'!$I15*(R$51-'I2 CBA Inputs'!$H15+1),0),0)*IF(R$51=FirstYear+AnalysisPeriod-1,1,0),0)*'I2 CBA Inputs'!$A$8</f>
        <v>0</v>
      </c>
      <c r="S52" s="18">
        <f>IFERROR(IF(S$51&gt;='I2 CBA Inputs'!$H15,MAX('I2 CBA Inputs'!$E15-'I2 CBA Inputs'!$E15/'I2 CBA Inputs'!$I15*(S$51-'I2 CBA Inputs'!$H15+1),0),0)*IF(S$51=FirstYear+AnalysisPeriod-1,1,0),0)*'I2 CBA Inputs'!$A$8</f>
        <v>0</v>
      </c>
      <c r="T52" s="18">
        <f>IFERROR(IF(T$51&gt;='I2 CBA Inputs'!$H15,MAX('I2 CBA Inputs'!$E15-'I2 CBA Inputs'!$E15/'I2 CBA Inputs'!$I15*(T$51-'I2 CBA Inputs'!$H15+1),0),0)*IF(T$51=FirstYear+AnalysisPeriod-1,1,0),0)*'I2 CBA Inputs'!$A$8</f>
        <v>0</v>
      </c>
      <c r="U52" s="18">
        <f>IFERROR(IF(U$51&gt;='I2 CBA Inputs'!$H15,MAX('I2 CBA Inputs'!$E15-'I2 CBA Inputs'!$E15/'I2 CBA Inputs'!$I15*(U$51-'I2 CBA Inputs'!$H15+1),0),0)*IF(U$51=FirstYear+AnalysisPeriod-1,1,0),0)*'I2 CBA Inputs'!$A$8</f>
        <v>0</v>
      </c>
      <c r="V52" s="18">
        <f>IFERROR(IF(V$51&gt;='I2 CBA Inputs'!$H15,MAX('I2 CBA Inputs'!$E15-'I2 CBA Inputs'!$E15/'I2 CBA Inputs'!$I15*(V$51-'I2 CBA Inputs'!$H15+1),0),0)*IF(V$51=FirstYear+AnalysisPeriod-1,1,0),0)*'I2 CBA Inputs'!$A$8</f>
        <v>0</v>
      </c>
      <c r="W52" s="18">
        <f>IFERROR(IF(W$51&gt;='I2 CBA Inputs'!$H15,MAX('I2 CBA Inputs'!$E15-'I2 CBA Inputs'!$E15/'I2 CBA Inputs'!$I15*(W$51-'I2 CBA Inputs'!$H15+1),0),0)*IF(W$51=FirstYear+AnalysisPeriod-1,1,0),0)*'I2 CBA Inputs'!$A$8</f>
        <v>0</v>
      </c>
      <c r="X52" s="18">
        <f>IFERROR(IF(X$51&gt;='I2 CBA Inputs'!$H15,MAX('I2 CBA Inputs'!$E15-'I2 CBA Inputs'!$E15/'I2 CBA Inputs'!$I15*(X$51-'I2 CBA Inputs'!$H15+1),0),0)*IF(X$51=FirstYear+AnalysisPeriod-1,1,0),0)*'I2 CBA Inputs'!$A$8</f>
        <v>0</v>
      </c>
      <c r="Y52" s="18">
        <f>IFERROR(IF(Y$51&gt;='I2 CBA Inputs'!$H15,MAX('I2 CBA Inputs'!$E15-'I2 CBA Inputs'!$E15/'I2 CBA Inputs'!$I15*(Y$51-'I2 CBA Inputs'!$H15+1),0),0)*IF(Y$51=FirstYear+AnalysisPeriod-1,1,0),0)*'I2 CBA Inputs'!$A$8</f>
        <v>0</v>
      </c>
      <c r="Z52" s="18">
        <f>IFERROR(IF(Z$51&gt;='I2 CBA Inputs'!$H15,MAX('I2 CBA Inputs'!$E15-'I2 CBA Inputs'!$E15/'I2 CBA Inputs'!$I15*(Z$51-'I2 CBA Inputs'!$H15+1),0),0)*IF(Z$51=FirstYear+AnalysisPeriod-1,1,0),0)*'I2 CBA Inputs'!$A$8</f>
        <v>0</v>
      </c>
      <c r="AA52" s="18">
        <f>IFERROR(IF(AA$51&gt;='I2 CBA Inputs'!$H15,MAX('I2 CBA Inputs'!$E15-'I2 CBA Inputs'!$E15/'I2 CBA Inputs'!$I15*(AA$51-'I2 CBA Inputs'!$H15+1),0),0)*IF(AA$51=FirstYear+AnalysisPeriod-1,1,0),0)*'I2 CBA Inputs'!$A$8</f>
        <v>0</v>
      </c>
      <c r="AB52" s="18">
        <f>IFERROR(IF(AB$51&gt;='I2 CBA Inputs'!$H15,MAX('I2 CBA Inputs'!$E15-'I2 CBA Inputs'!$E15/'I2 CBA Inputs'!$I15*(AB$51-'I2 CBA Inputs'!$H15+1),0),0)*IF(AB$51=FirstYear+AnalysisPeriod-1,1,0),0)*'I2 CBA Inputs'!$A$8</f>
        <v>0</v>
      </c>
      <c r="AC52" s="18">
        <f>IFERROR(IF(AC$51&gt;='I2 CBA Inputs'!$H15,MAX('I2 CBA Inputs'!$E15-'I2 CBA Inputs'!$E15/'I2 CBA Inputs'!$I15*(AC$51-'I2 CBA Inputs'!$H15+1),0),0)*IF(AC$51=FirstYear+AnalysisPeriod-1,1,0),0)*'I2 CBA Inputs'!$A$8</f>
        <v>0</v>
      </c>
      <c r="AD52" s="18">
        <f>IFERROR(IF(AD$51&gt;='I2 CBA Inputs'!$H15,MAX('I2 CBA Inputs'!$E15-'I2 CBA Inputs'!$E15/'I2 CBA Inputs'!$I15*(AD$51-'I2 CBA Inputs'!$H15+1),0),0)*IF(AD$51=FirstYear+AnalysisPeriod-1,1,0),0)*'I2 CBA Inputs'!$A$8</f>
        <v>0</v>
      </c>
      <c r="AE52" s="18">
        <f>IFERROR(IF(AE$51&gt;='I2 CBA Inputs'!$H15,MAX('I2 CBA Inputs'!$E15-'I2 CBA Inputs'!$E15/'I2 CBA Inputs'!$I15*(AE$51-'I2 CBA Inputs'!$H15+1),0),0)*IF(AE$51=FirstYear+AnalysisPeriod-1,1,0),0)*'I2 CBA Inputs'!$A$8</f>
        <v>0</v>
      </c>
      <c r="AF52" s="18">
        <f>IFERROR(IF(AF$51&gt;='I2 CBA Inputs'!$H15,MAX('I2 CBA Inputs'!$E15-'I2 CBA Inputs'!$E15/'I2 CBA Inputs'!$I15*(AF$51-'I2 CBA Inputs'!$H15+1),0),0)*IF(AF$51=FirstYear+AnalysisPeriod-1,1,0),0)*'I2 CBA Inputs'!$A$8</f>
        <v>0</v>
      </c>
      <c r="AG52" s="18">
        <f>IFERROR(IF(AG$51&gt;='I2 CBA Inputs'!$H15,MAX('I2 CBA Inputs'!$E15-'I2 CBA Inputs'!$E15/'I2 CBA Inputs'!$I15*(AG$51-'I2 CBA Inputs'!$H15+1),0),0)*IF(AG$51=FirstYear+AnalysisPeriod-1,1,0),0)*'I2 CBA Inputs'!$A$8</f>
        <v>0</v>
      </c>
      <c r="AH52" s="18">
        <f>IFERROR(IF(AH$51&gt;='I2 CBA Inputs'!$H15,MAX('I2 CBA Inputs'!$E15-'I2 CBA Inputs'!$E15/'I2 CBA Inputs'!$I15*(AH$51-'I2 CBA Inputs'!$H15+1),0),0)*IF(AH$51=FirstYear+AnalysisPeriod-1,1,0),0)*'I2 CBA Inputs'!$A$8</f>
        <v>0</v>
      </c>
      <c r="AI52" s="18">
        <f>IFERROR(IF(AI$51&gt;='I2 CBA Inputs'!$H15,MAX('I2 CBA Inputs'!$E15-'I2 CBA Inputs'!$E15/'I2 CBA Inputs'!$I15*(AI$51-'I2 CBA Inputs'!$H15+1),0),0)*IF(AI$51=FirstYear+AnalysisPeriod-1,1,0),0)*'I2 CBA Inputs'!$A$8</f>
        <v>0</v>
      </c>
      <c r="AJ52" s="18">
        <f>IFERROR(IF(AJ$51&gt;='I2 CBA Inputs'!$H15,MAX('I2 CBA Inputs'!$E15-'I2 CBA Inputs'!$E15/'I2 CBA Inputs'!$I15*(AJ$51-'I2 CBA Inputs'!$H15+1),0),0)*IF(AJ$51=FirstYear+AnalysisPeriod-1,1,0),0)*'I2 CBA Inputs'!$A$8</f>
        <v>0</v>
      </c>
    </row>
    <row r="53" spans="1:36" x14ac:dyDescent="0.2">
      <c r="A53" s="170"/>
      <c r="B53" s="9">
        <f t="shared" si="16"/>
        <v>1</v>
      </c>
      <c r="C53" s="28" t="str">
        <f t="shared" si="16"/>
        <v>Option 1A</v>
      </c>
      <c r="D53" s="28" t="str">
        <f t="shared" si="18"/>
        <v>Substation</v>
      </c>
      <c r="E53" s="13" t="s">
        <v>35</v>
      </c>
      <c r="F53" s="19">
        <f t="shared" si="19"/>
        <v>13512143.287388643</v>
      </c>
      <c r="G53" s="18">
        <f>IFERROR(IF(G$51&gt;='I2 CBA Inputs'!$H16,MAX('I2 CBA Inputs'!$E16-'I2 CBA Inputs'!$E16/'I2 CBA Inputs'!$I16*(G$51-'I2 CBA Inputs'!$H16+1),0),0)*IF(G$51=FirstYear+AnalysisPeriod-1,1,0),0)*'I2 CBA Inputs'!$A$8</f>
        <v>0</v>
      </c>
      <c r="H53" s="18">
        <f>IFERROR(IF(H$51&gt;='I2 CBA Inputs'!$H16,MAX('I2 CBA Inputs'!$E16-'I2 CBA Inputs'!$E16/'I2 CBA Inputs'!$I16*(H$51-'I2 CBA Inputs'!$H16+1),0),0)*IF(H$51=FirstYear+AnalysisPeriod-1,1,0),0)*'I2 CBA Inputs'!$A$8</f>
        <v>0</v>
      </c>
      <c r="I53" s="18">
        <f>IFERROR(IF(I$51&gt;='I2 CBA Inputs'!$H16,MAX('I2 CBA Inputs'!$E16-'I2 CBA Inputs'!$E16/'I2 CBA Inputs'!$I16*(I$51-'I2 CBA Inputs'!$H16+1),0),0)*IF(I$51=FirstYear+AnalysisPeriod-1,1,0),0)*'I2 CBA Inputs'!$A$8</f>
        <v>0</v>
      </c>
      <c r="J53" s="18">
        <f>IFERROR(IF(J$51&gt;='I2 CBA Inputs'!$H16,MAX('I2 CBA Inputs'!$E16-'I2 CBA Inputs'!$E16/'I2 CBA Inputs'!$I16*(J$51-'I2 CBA Inputs'!$H16+1),0),0)*IF(J$51=FirstYear+AnalysisPeriod-1,1,0),0)*'I2 CBA Inputs'!$A$8</f>
        <v>0</v>
      </c>
      <c r="K53" s="18">
        <f>IFERROR(IF(K$51&gt;='I2 CBA Inputs'!$H16,MAX('I2 CBA Inputs'!$E16-'I2 CBA Inputs'!$E16/'I2 CBA Inputs'!$I16*(K$51-'I2 CBA Inputs'!$H16+1),0),0)*IF(K$51=FirstYear+AnalysisPeriod-1,1,0),0)*'I2 CBA Inputs'!$A$8</f>
        <v>0</v>
      </c>
      <c r="L53" s="18">
        <f>IFERROR(IF(L$51&gt;='I2 CBA Inputs'!$H16,MAX('I2 CBA Inputs'!$E16-'I2 CBA Inputs'!$E16/'I2 CBA Inputs'!$I16*(L$51-'I2 CBA Inputs'!$H16+1),0),0)*IF(L$51=FirstYear+AnalysisPeriod-1,1,0),0)*'I2 CBA Inputs'!$A$8</f>
        <v>0</v>
      </c>
      <c r="M53" s="18">
        <f>IFERROR(IF(M$51&gt;='I2 CBA Inputs'!$H16,MAX('I2 CBA Inputs'!$E16-'I2 CBA Inputs'!$E16/'I2 CBA Inputs'!$I16*(M$51-'I2 CBA Inputs'!$H16+1),0),0)*IF(M$51=FirstYear+AnalysisPeriod-1,1,0),0)*'I2 CBA Inputs'!$A$8</f>
        <v>0</v>
      </c>
      <c r="N53" s="18">
        <f>IFERROR(IF(N$51&gt;='I2 CBA Inputs'!$H16,MAX('I2 CBA Inputs'!$E16-'I2 CBA Inputs'!$E16/'I2 CBA Inputs'!$I16*(N$51-'I2 CBA Inputs'!$H16+1),0),0)*IF(N$51=FirstYear+AnalysisPeriod-1,1,0),0)*'I2 CBA Inputs'!$A$8</f>
        <v>0</v>
      </c>
      <c r="O53" s="18">
        <f>IFERROR(IF(O$51&gt;='I2 CBA Inputs'!$H16,MAX('I2 CBA Inputs'!$E16-'I2 CBA Inputs'!$E16/'I2 CBA Inputs'!$I16*(O$51-'I2 CBA Inputs'!$H16+1),0),0)*IF(O$51=FirstYear+AnalysisPeriod-1,1,0),0)*'I2 CBA Inputs'!$A$8</f>
        <v>0</v>
      </c>
      <c r="P53" s="18">
        <f>IFERROR(IF(P$51&gt;='I2 CBA Inputs'!$H16,MAX('I2 CBA Inputs'!$E16-'I2 CBA Inputs'!$E16/'I2 CBA Inputs'!$I16*(P$51-'I2 CBA Inputs'!$H16+1),0),0)*IF(P$51=FirstYear+AnalysisPeriod-1,1,0),0)*'I2 CBA Inputs'!$A$8</f>
        <v>0</v>
      </c>
      <c r="Q53" s="18">
        <f>IFERROR(IF(Q$51&gt;='I2 CBA Inputs'!$H16,MAX('I2 CBA Inputs'!$E16-'I2 CBA Inputs'!$E16/'I2 CBA Inputs'!$I16*(Q$51-'I2 CBA Inputs'!$H16+1),0),0)*IF(Q$51=FirstYear+AnalysisPeriod-1,1,0),0)*'I2 CBA Inputs'!$A$8</f>
        <v>0</v>
      </c>
      <c r="R53" s="18">
        <f>IFERROR(IF(R$51&gt;='I2 CBA Inputs'!$H16,MAX('I2 CBA Inputs'!$E16-'I2 CBA Inputs'!$E16/'I2 CBA Inputs'!$I16*(R$51-'I2 CBA Inputs'!$H16+1),0),0)*IF(R$51=FirstYear+AnalysisPeriod-1,1,0),0)*'I2 CBA Inputs'!$A$8</f>
        <v>0</v>
      </c>
      <c r="S53" s="18">
        <f>IFERROR(IF(S$51&gt;='I2 CBA Inputs'!$H16,MAX('I2 CBA Inputs'!$E16-'I2 CBA Inputs'!$E16/'I2 CBA Inputs'!$I16*(S$51-'I2 CBA Inputs'!$H16+1),0),0)*IF(S$51=FirstYear+AnalysisPeriod-1,1,0),0)*'I2 CBA Inputs'!$A$8</f>
        <v>0</v>
      </c>
      <c r="T53" s="18">
        <f>IFERROR(IF(T$51&gt;='I2 CBA Inputs'!$H16,MAX('I2 CBA Inputs'!$E16-'I2 CBA Inputs'!$E16/'I2 CBA Inputs'!$I16*(T$51-'I2 CBA Inputs'!$H16+1),0),0)*IF(T$51=FirstYear+AnalysisPeriod-1,1,0),0)*'I2 CBA Inputs'!$A$8</f>
        <v>0</v>
      </c>
      <c r="U53" s="18">
        <f>IFERROR(IF(U$51&gt;='I2 CBA Inputs'!$H16,MAX('I2 CBA Inputs'!$E16-'I2 CBA Inputs'!$E16/'I2 CBA Inputs'!$I16*(U$51-'I2 CBA Inputs'!$H16+1),0),0)*IF(U$51=FirstYear+AnalysisPeriod-1,1,0),0)*'I2 CBA Inputs'!$A$8</f>
        <v>0</v>
      </c>
      <c r="V53" s="18">
        <f>IFERROR(IF(V$51&gt;='I2 CBA Inputs'!$H16,MAX('I2 CBA Inputs'!$E16-'I2 CBA Inputs'!$E16/'I2 CBA Inputs'!$I16*(V$51-'I2 CBA Inputs'!$H16+1),0),0)*IF(V$51=FirstYear+AnalysisPeriod-1,1,0),0)*'I2 CBA Inputs'!$A$8</f>
        <v>0</v>
      </c>
      <c r="W53" s="18">
        <f>IFERROR(IF(W$51&gt;='I2 CBA Inputs'!$H16,MAX('I2 CBA Inputs'!$E16-'I2 CBA Inputs'!$E16/'I2 CBA Inputs'!$I16*(W$51-'I2 CBA Inputs'!$H16+1),0),0)*IF(W$51=FirstYear+AnalysisPeriod-1,1,0),0)*'I2 CBA Inputs'!$A$8</f>
        <v>0</v>
      </c>
      <c r="X53" s="18">
        <f>IFERROR(IF(X$51&gt;='I2 CBA Inputs'!$H16,MAX('I2 CBA Inputs'!$E16-'I2 CBA Inputs'!$E16/'I2 CBA Inputs'!$I16*(X$51-'I2 CBA Inputs'!$H16+1),0),0)*IF(X$51=FirstYear+AnalysisPeriod-1,1,0),0)*'I2 CBA Inputs'!$A$8</f>
        <v>0</v>
      </c>
      <c r="Y53" s="18">
        <f>IFERROR(IF(Y$51&gt;='I2 CBA Inputs'!$H16,MAX('I2 CBA Inputs'!$E16-'I2 CBA Inputs'!$E16/'I2 CBA Inputs'!$I16*(Y$51-'I2 CBA Inputs'!$H16+1),0),0)*IF(Y$51=FirstYear+AnalysisPeriod-1,1,0),0)*'I2 CBA Inputs'!$A$8</f>
        <v>0</v>
      </c>
      <c r="Z53" s="18">
        <f>IFERROR(IF(Z$51&gt;='I2 CBA Inputs'!$H16,MAX('I2 CBA Inputs'!$E16-'I2 CBA Inputs'!$E16/'I2 CBA Inputs'!$I16*(Z$51-'I2 CBA Inputs'!$H16+1),0),0)*IF(Z$51=FirstYear+AnalysisPeriod-1,1,0),0)*'I2 CBA Inputs'!$A$8</f>
        <v>0</v>
      </c>
      <c r="AA53" s="18">
        <f>IFERROR(IF(AA$51&gt;='I2 CBA Inputs'!$H16,MAX('I2 CBA Inputs'!$E16-'I2 CBA Inputs'!$E16/'I2 CBA Inputs'!$I16*(AA$51-'I2 CBA Inputs'!$H16+1),0),0)*IF(AA$51=FirstYear+AnalysisPeriod-1,1,0),0)*'I2 CBA Inputs'!$A$8</f>
        <v>0</v>
      </c>
      <c r="AB53" s="18">
        <f>IFERROR(IF(AB$51&gt;='I2 CBA Inputs'!$H16,MAX('I2 CBA Inputs'!$E16-'I2 CBA Inputs'!$E16/'I2 CBA Inputs'!$I16*(AB$51-'I2 CBA Inputs'!$H16+1),0),0)*IF(AB$51=FirstYear+AnalysisPeriod-1,1,0),0)*'I2 CBA Inputs'!$A$8</f>
        <v>0</v>
      </c>
      <c r="AC53" s="18">
        <f>IFERROR(IF(AC$51&gt;='I2 CBA Inputs'!$H16,MAX('I2 CBA Inputs'!$E16-'I2 CBA Inputs'!$E16/'I2 CBA Inputs'!$I16*(AC$51-'I2 CBA Inputs'!$H16+1),0),0)*IF(AC$51=FirstYear+AnalysisPeriod-1,1,0),0)*'I2 CBA Inputs'!$A$8</f>
        <v>0</v>
      </c>
      <c r="AD53" s="18">
        <f>IFERROR(IF(AD$51&gt;='I2 CBA Inputs'!$H16,MAX('I2 CBA Inputs'!$E16-'I2 CBA Inputs'!$E16/'I2 CBA Inputs'!$I16*(AD$51-'I2 CBA Inputs'!$H16+1),0),0)*IF(AD$51=FirstYear+AnalysisPeriod-1,1,0),0)*'I2 CBA Inputs'!$A$8</f>
        <v>0</v>
      </c>
      <c r="AE53" s="18">
        <f>IFERROR(IF(AE$51&gt;='I2 CBA Inputs'!$H16,MAX('I2 CBA Inputs'!$E16-'I2 CBA Inputs'!$E16/'I2 CBA Inputs'!$I16*(AE$51-'I2 CBA Inputs'!$H16+1),0),0)*IF(AE$51=FirstYear+AnalysisPeriod-1,1,0),0)*'I2 CBA Inputs'!$A$8</f>
        <v>0</v>
      </c>
      <c r="AF53" s="18">
        <f>IFERROR(IF(AF$51&gt;='I2 CBA Inputs'!$H16,MAX('I2 CBA Inputs'!$E16-'I2 CBA Inputs'!$E16/'I2 CBA Inputs'!$I16*(AF$51-'I2 CBA Inputs'!$H16+1),0),0)*IF(AF$51=FirstYear+AnalysisPeriod-1,1,0),0)*'I2 CBA Inputs'!$A$8</f>
        <v>56640000</v>
      </c>
      <c r="AG53" s="18">
        <f>IFERROR(IF(AG$51&gt;='I2 CBA Inputs'!$H16,MAX('I2 CBA Inputs'!$E16-'I2 CBA Inputs'!$E16/'I2 CBA Inputs'!$I16*(AG$51-'I2 CBA Inputs'!$H16+1),0),0)*IF(AG$51=FirstYear+AnalysisPeriod-1,1,0),0)*'I2 CBA Inputs'!$A$8</f>
        <v>0</v>
      </c>
      <c r="AH53" s="18">
        <f>IFERROR(IF(AH$51&gt;='I2 CBA Inputs'!$H16,MAX('I2 CBA Inputs'!$E16-'I2 CBA Inputs'!$E16/'I2 CBA Inputs'!$I16*(AH$51-'I2 CBA Inputs'!$H16+1),0),0)*IF(AH$51=FirstYear+AnalysisPeriod-1,1,0),0)*'I2 CBA Inputs'!$A$8</f>
        <v>0</v>
      </c>
      <c r="AI53" s="18">
        <f>IFERROR(IF(AI$51&gt;='I2 CBA Inputs'!$H16,MAX('I2 CBA Inputs'!$E16-'I2 CBA Inputs'!$E16/'I2 CBA Inputs'!$I16*(AI$51-'I2 CBA Inputs'!$H16+1),0),0)*IF(AI$51=FirstYear+AnalysisPeriod-1,1,0),0)*'I2 CBA Inputs'!$A$8</f>
        <v>0</v>
      </c>
      <c r="AJ53" s="18">
        <f>IFERROR(IF(AJ$51&gt;='I2 CBA Inputs'!$H16,MAX('I2 CBA Inputs'!$E16-'I2 CBA Inputs'!$E16/'I2 CBA Inputs'!$I16*(AJ$51-'I2 CBA Inputs'!$H16+1),0),0)*IF(AJ$51=FirstYear+AnalysisPeriod-1,1,0),0)*'I2 CBA Inputs'!$A$8</f>
        <v>0</v>
      </c>
    </row>
    <row r="54" spans="1:36" x14ac:dyDescent="0.2">
      <c r="B54" s="9">
        <f t="shared" si="16"/>
        <v>1</v>
      </c>
      <c r="C54" s="28" t="str">
        <f t="shared" si="16"/>
        <v>Option 1A</v>
      </c>
      <c r="D54" s="28" t="str">
        <f t="shared" si="18"/>
        <v>Lines</v>
      </c>
      <c r="E54" s="13" t="s">
        <v>35</v>
      </c>
      <c r="F54" s="19">
        <f t="shared" si="19"/>
        <v>4155747.4587978483</v>
      </c>
      <c r="G54" s="18">
        <f>IFERROR(IF(G$51&gt;='I2 CBA Inputs'!$H17,MAX('I2 CBA Inputs'!$E17-'I2 CBA Inputs'!$E17/'I2 CBA Inputs'!$I17*(G$51-'I2 CBA Inputs'!$H17+1),0),0)*IF(G$51=FirstYear+AnalysisPeriod-1,1,0),0)*'I2 CBA Inputs'!$A$8</f>
        <v>0</v>
      </c>
      <c r="H54" s="18">
        <f>IFERROR(IF(H$51&gt;='I2 CBA Inputs'!$H17,MAX('I2 CBA Inputs'!$E17-'I2 CBA Inputs'!$E17/'I2 CBA Inputs'!$I17*(H$51-'I2 CBA Inputs'!$H17+1),0),0)*IF(H$51=FirstYear+AnalysisPeriod-1,1,0),0)*'I2 CBA Inputs'!$A$8</f>
        <v>0</v>
      </c>
      <c r="I54" s="18">
        <f>IFERROR(IF(I$51&gt;='I2 CBA Inputs'!$H17,MAX('I2 CBA Inputs'!$E17-'I2 CBA Inputs'!$E17/'I2 CBA Inputs'!$I17*(I$51-'I2 CBA Inputs'!$H17+1),0),0)*IF(I$51=FirstYear+AnalysisPeriod-1,1,0),0)*'I2 CBA Inputs'!$A$8</f>
        <v>0</v>
      </c>
      <c r="J54" s="18">
        <f>IFERROR(IF(J$51&gt;='I2 CBA Inputs'!$H17,MAX('I2 CBA Inputs'!$E17-'I2 CBA Inputs'!$E17/'I2 CBA Inputs'!$I17*(J$51-'I2 CBA Inputs'!$H17+1),0),0)*IF(J$51=FirstYear+AnalysisPeriod-1,1,0),0)*'I2 CBA Inputs'!$A$8</f>
        <v>0</v>
      </c>
      <c r="K54" s="18">
        <f>IFERROR(IF(K$51&gt;='I2 CBA Inputs'!$H17,MAX('I2 CBA Inputs'!$E17-'I2 CBA Inputs'!$E17/'I2 CBA Inputs'!$I17*(K$51-'I2 CBA Inputs'!$H17+1),0),0)*IF(K$51=FirstYear+AnalysisPeriod-1,1,0),0)*'I2 CBA Inputs'!$A$8</f>
        <v>0</v>
      </c>
      <c r="L54" s="18">
        <f>IFERROR(IF(L$51&gt;='I2 CBA Inputs'!$H17,MAX('I2 CBA Inputs'!$E17-'I2 CBA Inputs'!$E17/'I2 CBA Inputs'!$I17*(L$51-'I2 CBA Inputs'!$H17+1),0),0)*IF(L$51=FirstYear+AnalysisPeriod-1,1,0),0)*'I2 CBA Inputs'!$A$8</f>
        <v>0</v>
      </c>
      <c r="M54" s="18">
        <f>IFERROR(IF(M$51&gt;='I2 CBA Inputs'!$H17,MAX('I2 CBA Inputs'!$E17-'I2 CBA Inputs'!$E17/'I2 CBA Inputs'!$I17*(M$51-'I2 CBA Inputs'!$H17+1),0),0)*IF(M$51=FirstYear+AnalysisPeriod-1,1,0),0)*'I2 CBA Inputs'!$A$8</f>
        <v>0</v>
      </c>
      <c r="N54" s="18">
        <f>IFERROR(IF(N$51&gt;='I2 CBA Inputs'!$H17,MAX('I2 CBA Inputs'!$E17-'I2 CBA Inputs'!$E17/'I2 CBA Inputs'!$I17*(N$51-'I2 CBA Inputs'!$H17+1),0),0)*IF(N$51=FirstYear+AnalysisPeriod-1,1,0),0)*'I2 CBA Inputs'!$A$8</f>
        <v>0</v>
      </c>
      <c r="O54" s="18">
        <f>IFERROR(IF(O$51&gt;='I2 CBA Inputs'!$H17,MAX('I2 CBA Inputs'!$E17-'I2 CBA Inputs'!$E17/'I2 CBA Inputs'!$I17*(O$51-'I2 CBA Inputs'!$H17+1),0),0)*IF(O$51=FirstYear+AnalysisPeriod-1,1,0),0)*'I2 CBA Inputs'!$A$8</f>
        <v>0</v>
      </c>
      <c r="P54" s="18">
        <f>IFERROR(IF(P$51&gt;='I2 CBA Inputs'!$H17,MAX('I2 CBA Inputs'!$E17-'I2 CBA Inputs'!$E17/'I2 CBA Inputs'!$I17*(P$51-'I2 CBA Inputs'!$H17+1),0),0)*IF(P$51=FirstYear+AnalysisPeriod-1,1,0),0)*'I2 CBA Inputs'!$A$8</f>
        <v>0</v>
      </c>
      <c r="Q54" s="18">
        <f>IFERROR(IF(Q$51&gt;='I2 CBA Inputs'!$H17,MAX('I2 CBA Inputs'!$E17-'I2 CBA Inputs'!$E17/'I2 CBA Inputs'!$I17*(Q$51-'I2 CBA Inputs'!$H17+1),0),0)*IF(Q$51=FirstYear+AnalysisPeriod-1,1,0),0)*'I2 CBA Inputs'!$A$8</f>
        <v>0</v>
      </c>
      <c r="R54" s="18">
        <f>IFERROR(IF(R$51&gt;='I2 CBA Inputs'!$H17,MAX('I2 CBA Inputs'!$E17-'I2 CBA Inputs'!$E17/'I2 CBA Inputs'!$I17*(R$51-'I2 CBA Inputs'!$H17+1),0),0)*IF(R$51=FirstYear+AnalysisPeriod-1,1,0),0)*'I2 CBA Inputs'!$A$8</f>
        <v>0</v>
      </c>
      <c r="S54" s="18">
        <f>IFERROR(IF(S$51&gt;='I2 CBA Inputs'!$H17,MAX('I2 CBA Inputs'!$E17-'I2 CBA Inputs'!$E17/'I2 CBA Inputs'!$I17*(S$51-'I2 CBA Inputs'!$H17+1),0),0)*IF(S$51=FirstYear+AnalysisPeriod-1,1,0),0)*'I2 CBA Inputs'!$A$8</f>
        <v>0</v>
      </c>
      <c r="T54" s="18">
        <f>IFERROR(IF(T$51&gt;='I2 CBA Inputs'!$H17,MAX('I2 CBA Inputs'!$E17-'I2 CBA Inputs'!$E17/'I2 CBA Inputs'!$I17*(T$51-'I2 CBA Inputs'!$H17+1),0),0)*IF(T$51=FirstYear+AnalysisPeriod-1,1,0),0)*'I2 CBA Inputs'!$A$8</f>
        <v>0</v>
      </c>
      <c r="U54" s="18">
        <f>IFERROR(IF(U$51&gt;='I2 CBA Inputs'!$H17,MAX('I2 CBA Inputs'!$E17-'I2 CBA Inputs'!$E17/'I2 CBA Inputs'!$I17*(U$51-'I2 CBA Inputs'!$H17+1),0),0)*IF(U$51=FirstYear+AnalysisPeriod-1,1,0),0)*'I2 CBA Inputs'!$A$8</f>
        <v>0</v>
      </c>
      <c r="V54" s="18">
        <f>IFERROR(IF(V$51&gt;='I2 CBA Inputs'!$H17,MAX('I2 CBA Inputs'!$E17-'I2 CBA Inputs'!$E17/'I2 CBA Inputs'!$I17*(V$51-'I2 CBA Inputs'!$H17+1),0),0)*IF(V$51=FirstYear+AnalysisPeriod-1,1,0),0)*'I2 CBA Inputs'!$A$8</f>
        <v>0</v>
      </c>
      <c r="W54" s="18">
        <f>IFERROR(IF(W$51&gt;='I2 CBA Inputs'!$H17,MAX('I2 CBA Inputs'!$E17-'I2 CBA Inputs'!$E17/'I2 CBA Inputs'!$I17*(W$51-'I2 CBA Inputs'!$H17+1),0),0)*IF(W$51=FirstYear+AnalysisPeriod-1,1,0),0)*'I2 CBA Inputs'!$A$8</f>
        <v>0</v>
      </c>
      <c r="X54" s="18">
        <f>IFERROR(IF(X$51&gt;='I2 CBA Inputs'!$H17,MAX('I2 CBA Inputs'!$E17-'I2 CBA Inputs'!$E17/'I2 CBA Inputs'!$I17*(X$51-'I2 CBA Inputs'!$H17+1),0),0)*IF(X$51=FirstYear+AnalysisPeriod-1,1,0),0)*'I2 CBA Inputs'!$A$8</f>
        <v>0</v>
      </c>
      <c r="Y54" s="18">
        <f>IFERROR(IF(Y$51&gt;='I2 CBA Inputs'!$H17,MAX('I2 CBA Inputs'!$E17-'I2 CBA Inputs'!$E17/'I2 CBA Inputs'!$I17*(Y$51-'I2 CBA Inputs'!$H17+1),0),0)*IF(Y$51=FirstYear+AnalysisPeriod-1,1,0),0)*'I2 CBA Inputs'!$A$8</f>
        <v>0</v>
      </c>
      <c r="Z54" s="18">
        <f>IFERROR(IF(Z$51&gt;='I2 CBA Inputs'!$H17,MAX('I2 CBA Inputs'!$E17-'I2 CBA Inputs'!$E17/'I2 CBA Inputs'!$I17*(Z$51-'I2 CBA Inputs'!$H17+1),0),0)*IF(Z$51=FirstYear+AnalysisPeriod-1,1,0),0)*'I2 CBA Inputs'!$A$8</f>
        <v>0</v>
      </c>
      <c r="AA54" s="18">
        <f>IFERROR(IF(AA$51&gt;='I2 CBA Inputs'!$H17,MAX('I2 CBA Inputs'!$E17-'I2 CBA Inputs'!$E17/'I2 CBA Inputs'!$I17*(AA$51-'I2 CBA Inputs'!$H17+1),0),0)*IF(AA$51=FirstYear+AnalysisPeriod-1,1,0),0)*'I2 CBA Inputs'!$A$8</f>
        <v>0</v>
      </c>
      <c r="AB54" s="18">
        <f>IFERROR(IF(AB$51&gt;='I2 CBA Inputs'!$H17,MAX('I2 CBA Inputs'!$E17-'I2 CBA Inputs'!$E17/'I2 CBA Inputs'!$I17*(AB$51-'I2 CBA Inputs'!$H17+1),0),0)*IF(AB$51=FirstYear+AnalysisPeriod-1,1,0),0)*'I2 CBA Inputs'!$A$8</f>
        <v>0</v>
      </c>
      <c r="AC54" s="18">
        <f>IFERROR(IF(AC$51&gt;='I2 CBA Inputs'!$H17,MAX('I2 CBA Inputs'!$E17-'I2 CBA Inputs'!$E17/'I2 CBA Inputs'!$I17*(AC$51-'I2 CBA Inputs'!$H17+1),0),0)*IF(AC$51=FirstYear+AnalysisPeriod-1,1,0),0)*'I2 CBA Inputs'!$A$8</f>
        <v>0</v>
      </c>
      <c r="AD54" s="18">
        <f>IFERROR(IF(AD$51&gt;='I2 CBA Inputs'!$H17,MAX('I2 CBA Inputs'!$E17-'I2 CBA Inputs'!$E17/'I2 CBA Inputs'!$I17*(AD$51-'I2 CBA Inputs'!$H17+1),0),0)*IF(AD$51=FirstYear+AnalysisPeriod-1,1,0),0)*'I2 CBA Inputs'!$A$8</f>
        <v>0</v>
      </c>
      <c r="AE54" s="18">
        <f>IFERROR(IF(AE$51&gt;='I2 CBA Inputs'!$H17,MAX('I2 CBA Inputs'!$E17-'I2 CBA Inputs'!$E17/'I2 CBA Inputs'!$I17*(AE$51-'I2 CBA Inputs'!$H17+1),0),0)*IF(AE$51=FirstYear+AnalysisPeriod-1,1,0),0)*'I2 CBA Inputs'!$A$8</f>
        <v>0</v>
      </c>
      <c r="AF54" s="18">
        <f>IFERROR(IF(AF$51&gt;='I2 CBA Inputs'!$H17,MAX('I2 CBA Inputs'!$E17-'I2 CBA Inputs'!$E17/'I2 CBA Inputs'!$I17*(AF$51-'I2 CBA Inputs'!$H17+1),0),0)*IF(AF$51=FirstYear+AnalysisPeriod-1,1,0),0)*'I2 CBA Inputs'!$A$8</f>
        <v>17420000</v>
      </c>
      <c r="AG54" s="18">
        <f>IFERROR(IF(AG$51&gt;='I2 CBA Inputs'!$H17,MAX('I2 CBA Inputs'!$E17-'I2 CBA Inputs'!$E17/'I2 CBA Inputs'!$I17*(AG$51-'I2 CBA Inputs'!$H17+1),0),0)*IF(AG$51=FirstYear+AnalysisPeriod-1,1,0),0)*'I2 CBA Inputs'!$A$8</f>
        <v>0</v>
      </c>
      <c r="AH54" s="18">
        <f>IFERROR(IF(AH$51&gt;='I2 CBA Inputs'!$H17,MAX('I2 CBA Inputs'!$E17-'I2 CBA Inputs'!$E17/'I2 CBA Inputs'!$I17*(AH$51-'I2 CBA Inputs'!$H17+1),0),0)*IF(AH$51=FirstYear+AnalysisPeriod-1,1,0),0)*'I2 CBA Inputs'!$A$8</f>
        <v>0</v>
      </c>
      <c r="AI54" s="18">
        <f>IFERROR(IF(AI$51&gt;='I2 CBA Inputs'!$H17,MAX('I2 CBA Inputs'!$E17-'I2 CBA Inputs'!$E17/'I2 CBA Inputs'!$I17*(AI$51-'I2 CBA Inputs'!$H17+1),0),0)*IF(AI$51=FirstYear+AnalysisPeriod-1,1,0),0)*'I2 CBA Inputs'!$A$8</f>
        <v>0</v>
      </c>
      <c r="AJ54" s="18">
        <f>IFERROR(IF(AJ$51&gt;='I2 CBA Inputs'!$H17,MAX('I2 CBA Inputs'!$E17-'I2 CBA Inputs'!$E17/'I2 CBA Inputs'!$I17*(AJ$51-'I2 CBA Inputs'!$H17+1),0),0)*IF(AJ$51=FirstYear+AnalysisPeriod-1,1,0),0)*'I2 CBA Inputs'!$A$8</f>
        <v>0</v>
      </c>
    </row>
    <row r="55" spans="1:36" x14ac:dyDescent="0.2">
      <c r="B55" s="9">
        <f t="shared" si="16"/>
        <v>2</v>
      </c>
      <c r="C55" s="28" t="str">
        <f t="shared" si="16"/>
        <v>Option 1B</v>
      </c>
      <c r="D55" s="28" t="str">
        <f t="shared" si="18"/>
        <v>Lines</v>
      </c>
      <c r="E55" s="13" t="s">
        <v>35</v>
      </c>
      <c r="F55" s="19">
        <f t="shared" si="19"/>
        <v>4155747.4587978483</v>
      </c>
      <c r="G55" s="18">
        <f>IFERROR(IF(G$51&gt;='I2 CBA Inputs'!$H18,MAX('I2 CBA Inputs'!$E18-'I2 CBA Inputs'!$E18/'I2 CBA Inputs'!$I18*(G$51-'I2 CBA Inputs'!$H18+1),0),0)*IF(G$51=FirstYear+AnalysisPeriod-1,1,0),0)*'I2 CBA Inputs'!$A$8</f>
        <v>0</v>
      </c>
      <c r="H55" s="18">
        <f>IFERROR(IF(H$51&gt;='I2 CBA Inputs'!$H18,MAX('I2 CBA Inputs'!$E18-'I2 CBA Inputs'!$E18/'I2 CBA Inputs'!$I18*(H$51-'I2 CBA Inputs'!$H18+1),0),0)*IF(H$51=FirstYear+AnalysisPeriod-1,1,0),0)*'I2 CBA Inputs'!$A$8</f>
        <v>0</v>
      </c>
      <c r="I55" s="18">
        <f>IFERROR(IF(I$51&gt;='I2 CBA Inputs'!$H18,MAX('I2 CBA Inputs'!$E18-'I2 CBA Inputs'!$E18/'I2 CBA Inputs'!$I18*(I$51-'I2 CBA Inputs'!$H18+1),0),0)*IF(I$51=FirstYear+AnalysisPeriod-1,1,0),0)*'I2 CBA Inputs'!$A$8</f>
        <v>0</v>
      </c>
      <c r="J55" s="18">
        <f>IFERROR(IF(J$51&gt;='I2 CBA Inputs'!$H18,MAX('I2 CBA Inputs'!$E18-'I2 CBA Inputs'!$E18/'I2 CBA Inputs'!$I18*(J$51-'I2 CBA Inputs'!$H18+1),0),0)*IF(J$51=FirstYear+AnalysisPeriod-1,1,0),0)*'I2 CBA Inputs'!$A$8</f>
        <v>0</v>
      </c>
      <c r="K55" s="18">
        <f>IFERROR(IF(K$51&gt;='I2 CBA Inputs'!$H18,MAX('I2 CBA Inputs'!$E18-'I2 CBA Inputs'!$E18/'I2 CBA Inputs'!$I18*(K$51-'I2 CBA Inputs'!$H18+1),0),0)*IF(K$51=FirstYear+AnalysisPeriod-1,1,0),0)*'I2 CBA Inputs'!$A$8</f>
        <v>0</v>
      </c>
      <c r="L55" s="18">
        <f>IFERROR(IF(L$51&gt;='I2 CBA Inputs'!$H18,MAX('I2 CBA Inputs'!$E18-'I2 CBA Inputs'!$E18/'I2 CBA Inputs'!$I18*(L$51-'I2 CBA Inputs'!$H18+1),0),0)*IF(L$51=FirstYear+AnalysisPeriod-1,1,0),0)*'I2 CBA Inputs'!$A$8</f>
        <v>0</v>
      </c>
      <c r="M55" s="18">
        <f>IFERROR(IF(M$51&gt;='I2 CBA Inputs'!$H18,MAX('I2 CBA Inputs'!$E18-'I2 CBA Inputs'!$E18/'I2 CBA Inputs'!$I18*(M$51-'I2 CBA Inputs'!$H18+1),0),0)*IF(M$51=FirstYear+AnalysisPeriod-1,1,0),0)*'I2 CBA Inputs'!$A$8</f>
        <v>0</v>
      </c>
      <c r="N55" s="18">
        <f>IFERROR(IF(N$51&gt;='I2 CBA Inputs'!$H18,MAX('I2 CBA Inputs'!$E18-'I2 CBA Inputs'!$E18/'I2 CBA Inputs'!$I18*(N$51-'I2 CBA Inputs'!$H18+1),0),0)*IF(N$51=FirstYear+AnalysisPeriod-1,1,0),0)*'I2 CBA Inputs'!$A$8</f>
        <v>0</v>
      </c>
      <c r="O55" s="18">
        <f>IFERROR(IF(O$51&gt;='I2 CBA Inputs'!$H18,MAX('I2 CBA Inputs'!$E18-'I2 CBA Inputs'!$E18/'I2 CBA Inputs'!$I18*(O$51-'I2 CBA Inputs'!$H18+1),0),0)*IF(O$51=FirstYear+AnalysisPeriod-1,1,0),0)*'I2 CBA Inputs'!$A$8</f>
        <v>0</v>
      </c>
      <c r="P55" s="18">
        <f>IFERROR(IF(P$51&gt;='I2 CBA Inputs'!$H18,MAX('I2 CBA Inputs'!$E18-'I2 CBA Inputs'!$E18/'I2 CBA Inputs'!$I18*(P$51-'I2 CBA Inputs'!$H18+1),0),0)*IF(P$51=FirstYear+AnalysisPeriod-1,1,0),0)*'I2 CBA Inputs'!$A$8</f>
        <v>0</v>
      </c>
      <c r="Q55" s="18">
        <f>IFERROR(IF(Q$51&gt;='I2 CBA Inputs'!$H18,MAX('I2 CBA Inputs'!$E18-'I2 CBA Inputs'!$E18/'I2 CBA Inputs'!$I18*(Q$51-'I2 CBA Inputs'!$H18+1),0),0)*IF(Q$51=FirstYear+AnalysisPeriod-1,1,0),0)*'I2 CBA Inputs'!$A$8</f>
        <v>0</v>
      </c>
      <c r="R55" s="18">
        <f>IFERROR(IF(R$51&gt;='I2 CBA Inputs'!$H18,MAX('I2 CBA Inputs'!$E18-'I2 CBA Inputs'!$E18/'I2 CBA Inputs'!$I18*(R$51-'I2 CBA Inputs'!$H18+1),0),0)*IF(R$51=FirstYear+AnalysisPeriod-1,1,0),0)*'I2 CBA Inputs'!$A$8</f>
        <v>0</v>
      </c>
      <c r="S55" s="18">
        <f>IFERROR(IF(S$51&gt;='I2 CBA Inputs'!$H18,MAX('I2 CBA Inputs'!$E18-'I2 CBA Inputs'!$E18/'I2 CBA Inputs'!$I18*(S$51-'I2 CBA Inputs'!$H18+1),0),0)*IF(S$51=FirstYear+AnalysisPeriod-1,1,0),0)*'I2 CBA Inputs'!$A$8</f>
        <v>0</v>
      </c>
      <c r="T55" s="18">
        <f>IFERROR(IF(T$51&gt;='I2 CBA Inputs'!$H18,MAX('I2 CBA Inputs'!$E18-'I2 CBA Inputs'!$E18/'I2 CBA Inputs'!$I18*(T$51-'I2 CBA Inputs'!$H18+1),0),0)*IF(T$51=FirstYear+AnalysisPeriod-1,1,0),0)*'I2 CBA Inputs'!$A$8</f>
        <v>0</v>
      </c>
      <c r="U55" s="18">
        <f>IFERROR(IF(U$51&gt;='I2 CBA Inputs'!$H18,MAX('I2 CBA Inputs'!$E18-'I2 CBA Inputs'!$E18/'I2 CBA Inputs'!$I18*(U$51-'I2 CBA Inputs'!$H18+1),0),0)*IF(U$51=FirstYear+AnalysisPeriod-1,1,0),0)*'I2 CBA Inputs'!$A$8</f>
        <v>0</v>
      </c>
      <c r="V55" s="18">
        <f>IFERROR(IF(V$51&gt;='I2 CBA Inputs'!$H18,MAX('I2 CBA Inputs'!$E18-'I2 CBA Inputs'!$E18/'I2 CBA Inputs'!$I18*(V$51-'I2 CBA Inputs'!$H18+1),0),0)*IF(V$51=FirstYear+AnalysisPeriod-1,1,0),0)*'I2 CBA Inputs'!$A$8</f>
        <v>0</v>
      </c>
      <c r="W55" s="18">
        <f>IFERROR(IF(W$51&gt;='I2 CBA Inputs'!$H18,MAX('I2 CBA Inputs'!$E18-'I2 CBA Inputs'!$E18/'I2 CBA Inputs'!$I18*(W$51-'I2 CBA Inputs'!$H18+1),0),0)*IF(W$51=FirstYear+AnalysisPeriod-1,1,0),0)*'I2 CBA Inputs'!$A$8</f>
        <v>0</v>
      </c>
      <c r="X55" s="18">
        <f>IFERROR(IF(X$51&gt;='I2 CBA Inputs'!$H18,MAX('I2 CBA Inputs'!$E18-'I2 CBA Inputs'!$E18/'I2 CBA Inputs'!$I18*(X$51-'I2 CBA Inputs'!$H18+1),0),0)*IF(X$51=FirstYear+AnalysisPeriod-1,1,0),0)*'I2 CBA Inputs'!$A$8</f>
        <v>0</v>
      </c>
      <c r="Y55" s="18">
        <f>IFERROR(IF(Y$51&gt;='I2 CBA Inputs'!$H18,MAX('I2 CBA Inputs'!$E18-'I2 CBA Inputs'!$E18/'I2 CBA Inputs'!$I18*(Y$51-'I2 CBA Inputs'!$H18+1),0),0)*IF(Y$51=FirstYear+AnalysisPeriod-1,1,0),0)*'I2 CBA Inputs'!$A$8</f>
        <v>0</v>
      </c>
      <c r="Z55" s="18">
        <f>IFERROR(IF(Z$51&gt;='I2 CBA Inputs'!$H18,MAX('I2 CBA Inputs'!$E18-'I2 CBA Inputs'!$E18/'I2 CBA Inputs'!$I18*(Z$51-'I2 CBA Inputs'!$H18+1),0),0)*IF(Z$51=FirstYear+AnalysisPeriod-1,1,0),0)*'I2 CBA Inputs'!$A$8</f>
        <v>0</v>
      </c>
      <c r="AA55" s="18">
        <f>IFERROR(IF(AA$51&gt;='I2 CBA Inputs'!$H18,MAX('I2 CBA Inputs'!$E18-'I2 CBA Inputs'!$E18/'I2 CBA Inputs'!$I18*(AA$51-'I2 CBA Inputs'!$H18+1),0),0)*IF(AA$51=FirstYear+AnalysisPeriod-1,1,0),0)*'I2 CBA Inputs'!$A$8</f>
        <v>0</v>
      </c>
      <c r="AB55" s="18">
        <f>IFERROR(IF(AB$51&gt;='I2 CBA Inputs'!$H18,MAX('I2 CBA Inputs'!$E18-'I2 CBA Inputs'!$E18/'I2 CBA Inputs'!$I18*(AB$51-'I2 CBA Inputs'!$H18+1),0),0)*IF(AB$51=FirstYear+AnalysisPeriod-1,1,0),0)*'I2 CBA Inputs'!$A$8</f>
        <v>0</v>
      </c>
      <c r="AC55" s="18">
        <f>IFERROR(IF(AC$51&gt;='I2 CBA Inputs'!$H18,MAX('I2 CBA Inputs'!$E18-'I2 CBA Inputs'!$E18/'I2 CBA Inputs'!$I18*(AC$51-'I2 CBA Inputs'!$H18+1),0),0)*IF(AC$51=FirstYear+AnalysisPeriod-1,1,0),0)*'I2 CBA Inputs'!$A$8</f>
        <v>0</v>
      </c>
      <c r="AD55" s="18">
        <f>IFERROR(IF(AD$51&gt;='I2 CBA Inputs'!$H18,MAX('I2 CBA Inputs'!$E18-'I2 CBA Inputs'!$E18/'I2 CBA Inputs'!$I18*(AD$51-'I2 CBA Inputs'!$H18+1),0),0)*IF(AD$51=FirstYear+AnalysisPeriod-1,1,0),0)*'I2 CBA Inputs'!$A$8</f>
        <v>0</v>
      </c>
      <c r="AE55" s="18">
        <f>IFERROR(IF(AE$51&gt;='I2 CBA Inputs'!$H18,MAX('I2 CBA Inputs'!$E18-'I2 CBA Inputs'!$E18/'I2 CBA Inputs'!$I18*(AE$51-'I2 CBA Inputs'!$H18+1),0),0)*IF(AE$51=FirstYear+AnalysisPeriod-1,1,0),0)*'I2 CBA Inputs'!$A$8</f>
        <v>0</v>
      </c>
      <c r="AF55" s="18">
        <f>IFERROR(IF(AF$51&gt;='I2 CBA Inputs'!$H18,MAX('I2 CBA Inputs'!$E18-'I2 CBA Inputs'!$E18/'I2 CBA Inputs'!$I18*(AF$51-'I2 CBA Inputs'!$H18+1),0),0)*IF(AF$51=FirstYear+AnalysisPeriod-1,1,0),0)*'I2 CBA Inputs'!$A$8</f>
        <v>17420000</v>
      </c>
      <c r="AG55" s="18">
        <f>IFERROR(IF(AG$51&gt;='I2 CBA Inputs'!$H18,MAX('I2 CBA Inputs'!$E18-'I2 CBA Inputs'!$E18/'I2 CBA Inputs'!$I18*(AG$51-'I2 CBA Inputs'!$H18+1),0),0)*IF(AG$51=FirstYear+AnalysisPeriod-1,1,0),0)*'I2 CBA Inputs'!$A$8</f>
        <v>0</v>
      </c>
      <c r="AH55" s="18">
        <f>IFERROR(IF(AH$51&gt;='I2 CBA Inputs'!$H18,MAX('I2 CBA Inputs'!$E18-'I2 CBA Inputs'!$E18/'I2 CBA Inputs'!$I18*(AH$51-'I2 CBA Inputs'!$H18+1),0),0)*IF(AH$51=FirstYear+AnalysisPeriod-1,1,0),0)*'I2 CBA Inputs'!$A$8</f>
        <v>0</v>
      </c>
      <c r="AI55" s="18">
        <f>IFERROR(IF(AI$51&gt;='I2 CBA Inputs'!$H18,MAX('I2 CBA Inputs'!$E18-'I2 CBA Inputs'!$E18/'I2 CBA Inputs'!$I18*(AI$51-'I2 CBA Inputs'!$H18+1),0),0)*IF(AI$51=FirstYear+AnalysisPeriod-1,1,0),0)*'I2 CBA Inputs'!$A$8</f>
        <v>0</v>
      </c>
      <c r="AJ55" s="18">
        <f>IFERROR(IF(AJ$51&gt;='I2 CBA Inputs'!$H18,MAX('I2 CBA Inputs'!$E18-'I2 CBA Inputs'!$E18/'I2 CBA Inputs'!$I18*(AJ$51-'I2 CBA Inputs'!$H18+1),0),0)*IF(AJ$51=FirstYear+AnalysisPeriod-1,1,0),0)*'I2 CBA Inputs'!$A$8</f>
        <v>0</v>
      </c>
    </row>
    <row r="56" spans="1:36" x14ac:dyDescent="0.2">
      <c r="B56" s="9">
        <f t="shared" si="16"/>
        <v>3</v>
      </c>
      <c r="C56" s="28" t="str">
        <f t="shared" si="16"/>
        <v>Option 1C</v>
      </c>
      <c r="D56" s="28" t="str">
        <f t="shared" si="18"/>
        <v>Substation</v>
      </c>
      <c r="E56" s="13" t="s">
        <v>35</v>
      </c>
      <c r="F56" s="19">
        <f t="shared" si="19"/>
        <v>13512143.287388643</v>
      </c>
      <c r="G56" s="18">
        <f>IFERROR(IF(G$51&gt;='I2 CBA Inputs'!$H19,MAX('I2 CBA Inputs'!$E19-'I2 CBA Inputs'!$E19/'I2 CBA Inputs'!$I19*(G$51-'I2 CBA Inputs'!$H19+1),0),0)*IF(G$51=FirstYear+AnalysisPeriod-1,1,0),0)*'I2 CBA Inputs'!$A$8</f>
        <v>0</v>
      </c>
      <c r="H56" s="18">
        <f>IFERROR(IF(H$51&gt;='I2 CBA Inputs'!$H19,MAX('I2 CBA Inputs'!$E19-'I2 CBA Inputs'!$E19/'I2 CBA Inputs'!$I19*(H$51-'I2 CBA Inputs'!$H19+1),0),0)*IF(H$51=FirstYear+AnalysisPeriod-1,1,0),0)*'I2 CBA Inputs'!$A$8</f>
        <v>0</v>
      </c>
      <c r="I56" s="18">
        <f>IFERROR(IF(I$51&gt;='I2 CBA Inputs'!$H19,MAX('I2 CBA Inputs'!$E19-'I2 CBA Inputs'!$E19/'I2 CBA Inputs'!$I19*(I$51-'I2 CBA Inputs'!$H19+1),0),0)*IF(I$51=FirstYear+AnalysisPeriod-1,1,0),0)*'I2 CBA Inputs'!$A$8</f>
        <v>0</v>
      </c>
      <c r="J56" s="18">
        <f>IFERROR(IF(J$51&gt;='I2 CBA Inputs'!$H19,MAX('I2 CBA Inputs'!$E19-'I2 CBA Inputs'!$E19/'I2 CBA Inputs'!$I19*(J$51-'I2 CBA Inputs'!$H19+1),0),0)*IF(J$51=FirstYear+AnalysisPeriod-1,1,0),0)*'I2 CBA Inputs'!$A$8</f>
        <v>0</v>
      </c>
      <c r="K56" s="18">
        <f>IFERROR(IF(K$51&gt;='I2 CBA Inputs'!$H19,MAX('I2 CBA Inputs'!$E19-'I2 CBA Inputs'!$E19/'I2 CBA Inputs'!$I19*(K$51-'I2 CBA Inputs'!$H19+1),0),0)*IF(K$51=FirstYear+AnalysisPeriod-1,1,0),0)*'I2 CBA Inputs'!$A$8</f>
        <v>0</v>
      </c>
      <c r="L56" s="18">
        <f>IFERROR(IF(L$51&gt;='I2 CBA Inputs'!$H19,MAX('I2 CBA Inputs'!$E19-'I2 CBA Inputs'!$E19/'I2 CBA Inputs'!$I19*(L$51-'I2 CBA Inputs'!$H19+1),0),0)*IF(L$51=FirstYear+AnalysisPeriod-1,1,0),0)*'I2 CBA Inputs'!$A$8</f>
        <v>0</v>
      </c>
      <c r="M56" s="18">
        <f>IFERROR(IF(M$51&gt;='I2 CBA Inputs'!$H19,MAX('I2 CBA Inputs'!$E19-'I2 CBA Inputs'!$E19/'I2 CBA Inputs'!$I19*(M$51-'I2 CBA Inputs'!$H19+1),0),0)*IF(M$51=FirstYear+AnalysisPeriod-1,1,0),0)*'I2 CBA Inputs'!$A$8</f>
        <v>0</v>
      </c>
      <c r="N56" s="18">
        <f>IFERROR(IF(N$51&gt;='I2 CBA Inputs'!$H19,MAX('I2 CBA Inputs'!$E19-'I2 CBA Inputs'!$E19/'I2 CBA Inputs'!$I19*(N$51-'I2 CBA Inputs'!$H19+1),0),0)*IF(N$51=FirstYear+AnalysisPeriod-1,1,0),0)*'I2 CBA Inputs'!$A$8</f>
        <v>0</v>
      </c>
      <c r="O56" s="18">
        <f>IFERROR(IF(O$51&gt;='I2 CBA Inputs'!$H19,MAX('I2 CBA Inputs'!$E19-'I2 CBA Inputs'!$E19/'I2 CBA Inputs'!$I19*(O$51-'I2 CBA Inputs'!$H19+1),0),0)*IF(O$51=FirstYear+AnalysisPeriod-1,1,0),0)*'I2 CBA Inputs'!$A$8</f>
        <v>0</v>
      </c>
      <c r="P56" s="18">
        <f>IFERROR(IF(P$51&gt;='I2 CBA Inputs'!$H19,MAX('I2 CBA Inputs'!$E19-'I2 CBA Inputs'!$E19/'I2 CBA Inputs'!$I19*(P$51-'I2 CBA Inputs'!$H19+1),0),0)*IF(P$51=FirstYear+AnalysisPeriod-1,1,0),0)*'I2 CBA Inputs'!$A$8</f>
        <v>0</v>
      </c>
      <c r="Q56" s="18">
        <f>IFERROR(IF(Q$51&gt;='I2 CBA Inputs'!$H19,MAX('I2 CBA Inputs'!$E19-'I2 CBA Inputs'!$E19/'I2 CBA Inputs'!$I19*(Q$51-'I2 CBA Inputs'!$H19+1),0),0)*IF(Q$51=FirstYear+AnalysisPeriod-1,1,0),0)*'I2 CBA Inputs'!$A$8</f>
        <v>0</v>
      </c>
      <c r="R56" s="18">
        <f>IFERROR(IF(R$51&gt;='I2 CBA Inputs'!$H19,MAX('I2 CBA Inputs'!$E19-'I2 CBA Inputs'!$E19/'I2 CBA Inputs'!$I19*(R$51-'I2 CBA Inputs'!$H19+1),0),0)*IF(R$51=FirstYear+AnalysisPeriod-1,1,0),0)*'I2 CBA Inputs'!$A$8</f>
        <v>0</v>
      </c>
      <c r="S56" s="18">
        <f>IFERROR(IF(S$51&gt;='I2 CBA Inputs'!$H19,MAX('I2 CBA Inputs'!$E19-'I2 CBA Inputs'!$E19/'I2 CBA Inputs'!$I19*(S$51-'I2 CBA Inputs'!$H19+1),0),0)*IF(S$51=FirstYear+AnalysisPeriod-1,1,0),0)*'I2 CBA Inputs'!$A$8</f>
        <v>0</v>
      </c>
      <c r="T56" s="18">
        <f>IFERROR(IF(T$51&gt;='I2 CBA Inputs'!$H19,MAX('I2 CBA Inputs'!$E19-'I2 CBA Inputs'!$E19/'I2 CBA Inputs'!$I19*(T$51-'I2 CBA Inputs'!$H19+1),0),0)*IF(T$51=FirstYear+AnalysisPeriod-1,1,0),0)*'I2 CBA Inputs'!$A$8</f>
        <v>0</v>
      </c>
      <c r="U56" s="18">
        <f>IFERROR(IF(U$51&gt;='I2 CBA Inputs'!$H19,MAX('I2 CBA Inputs'!$E19-'I2 CBA Inputs'!$E19/'I2 CBA Inputs'!$I19*(U$51-'I2 CBA Inputs'!$H19+1),0),0)*IF(U$51=FirstYear+AnalysisPeriod-1,1,0),0)*'I2 CBA Inputs'!$A$8</f>
        <v>0</v>
      </c>
      <c r="V56" s="18">
        <f>IFERROR(IF(V$51&gt;='I2 CBA Inputs'!$H19,MAX('I2 CBA Inputs'!$E19-'I2 CBA Inputs'!$E19/'I2 CBA Inputs'!$I19*(V$51-'I2 CBA Inputs'!$H19+1),0),0)*IF(V$51=FirstYear+AnalysisPeriod-1,1,0),0)*'I2 CBA Inputs'!$A$8</f>
        <v>0</v>
      </c>
      <c r="W56" s="18">
        <f>IFERROR(IF(W$51&gt;='I2 CBA Inputs'!$H19,MAX('I2 CBA Inputs'!$E19-'I2 CBA Inputs'!$E19/'I2 CBA Inputs'!$I19*(W$51-'I2 CBA Inputs'!$H19+1),0),0)*IF(W$51=FirstYear+AnalysisPeriod-1,1,0),0)*'I2 CBA Inputs'!$A$8</f>
        <v>0</v>
      </c>
      <c r="X56" s="18">
        <f>IFERROR(IF(X$51&gt;='I2 CBA Inputs'!$H19,MAX('I2 CBA Inputs'!$E19-'I2 CBA Inputs'!$E19/'I2 CBA Inputs'!$I19*(X$51-'I2 CBA Inputs'!$H19+1),0),0)*IF(X$51=FirstYear+AnalysisPeriod-1,1,0),0)*'I2 CBA Inputs'!$A$8</f>
        <v>0</v>
      </c>
      <c r="Y56" s="18">
        <f>IFERROR(IF(Y$51&gt;='I2 CBA Inputs'!$H19,MAX('I2 CBA Inputs'!$E19-'I2 CBA Inputs'!$E19/'I2 CBA Inputs'!$I19*(Y$51-'I2 CBA Inputs'!$H19+1),0),0)*IF(Y$51=FirstYear+AnalysisPeriod-1,1,0),0)*'I2 CBA Inputs'!$A$8</f>
        <v>0</v>
      </c>
      <c r="Z56" s="18">
        <f>IFERROR(IF(Z$51&gt;='I2 CBA Inputs'!$H19,MAX('I2 CBA Inputs'!$E19-'I2 CBA Inputs'!$E19/'I2 CBA Inputs'!$I19*(Z$51-'I2 CBA Inputs'!$H19+1),0),0)*IF(Z$51=FirstYear+AnalysisPeriod-1,1,0),0)*'I2 CBA Inputs'!$A$8</f>
        <v>0</v>
      </c>
      <c r="AA56" s="18">
        <f>IFERROR(IF(AA$51&gt;='I2 CBA Inputs'!$H19,MAX('I2 CBA Inputs'!$E19-'I2 CBA Inputs'!$E19/'I2 CBA Inputs'!$I19*(AA$51-'I2 CBA Inputs'!$H19+1),0),0)*IF(AA$51=FirstYear+AnalysisPeriod-1,1,0),0)*'I2 CBA Inputs'!$A$8</f>
        <v>0</v>
      </c>
      <c r="AB56" s="18">
        <f>IFERROR(IF(AB$51&gt;='I2 CBA Inputs'!$H19,MAX('I2 CBA Inputs'!$E19-'I2 CBA Inputs'!$E19/'I2 CBA Inputs'!$I19*(AB$51-'I2 CBA Inputs'!$H19+1),0),0)*IF(AB$51=FirstYear+AnalysisPeriod-1,1,0),0)*'I2 CBA Inputs'!$A$8</f>
        <v>0</v>
      </c>
      <c r="AC56" s="18">
        <f>IFERROR(IF(AC$51&gt;='I2 CBA Inputs'!$H19,MAX('I2 CBA Inputs'!$E19-'I2 CBA Inputs'!$E19/'I2 CBA Inputs'!$I19*(AC$51-'I2 CBA Inputs'!$H19+1),0),0)*IF(AC$51=FirstYear+AnalysisPeriod-1,1,0),0)*'I2 CBA Inputs'!$A$8</f>
        <v>0</v>
      </c>
      <c r="AD56" s="18">
        <f>IFERROR(IF(AD$51&gt;='I2 CBA Inputs'!$H19,MAX('I2 CBA Inputs'!$E19-'I2 CBA Inputs'!$E19/'I2 CBA Inputs'!$I19*(AD$51-'I2 CBA Inputs'!$H19+1),0),0)*IF(AD$51=FirstYear+AnalysisPeriod-1,1,0),0)*'I2 CBA Inputs'!$A$8</f>
        <v>0</v>
      </c>
      <c r="AE56" s="18">
        <f>IFERROR(IF(AE$51&gt;='I2 CBA Inputs'!$H19,MAX('I2 CBA Inputs'!$E19-'I2 CBA Inputs'!$E19/'I2 CBA Inputs'!$I19*(AE$51-'I2 CBA Inputs'!$H19+1),0),0)*IF(AE$51=FirstYear+AnalysisPeriod-1,1,0),0)*'I2 CBA Inputs'!$A$8</f>
        <v>0</v>
      </c>
      <c r="AF56" s="18">
        <f>IFERROR(IF(AF$51&gt;='I2 CBA Inputs'!$H19,MAX('I2 CBA Inputs'!$E19-'I2 CBA Inputs'!$E19/'I2 CBA Inputs'!$I19*(AF$51-'I2 CBA Inputs'!$H19+1),0),0)*IF(AF$51=FirstYear+AnalysisPeriod-1,1,0),0)*'I2 CBA Inputs'!$A$8</f>
        <v>56640000</v>
      </c>
      <c r="AG56" s="18">
        <f>IFERROR(IF(AG$51&gt;='I2 CBA Inputs'!$H19,MAX('I2 CBA Inputs'!$E19-'I2 CBA Inputs'!$E19/'I2 CBA Inputs'!$I19*(AG$51-'I2 CBA Inputs'!$H19+1),0),0)*IF(AG$51=FirstYear+AnalysisPeriod-1,1,0),0)*'I2 CBA Inputs'!$A$8</f>
        <v>0</v>
      </c>
      <c r="AH56" s="18">
        <f>IFERROR(IF(AH$51&gt;='I2 CBA Inputs'!$H19,MAX('I2 CBA Inputs'!$E19-'I2 CBA Inputs'!$E19/'I2 CBA Inputs'!$I19*(AH$51-'I2 CBA Inputs'!$H19+1),0),0)*IF(AH$51=FirstYear+AnalysisPeriod-1,1,0),0)*'I2 CBA Inputs'!$A$8</f>
        <v>0</v>
      </c>
      <c r="AI56" s="18">
        <f>IFERROR(IF(AI$51&gt;='I2 CBA Inputs'!$H19,MAX('I2 CBA Inputs'!$E19-'I2 CBA Inputs'!$E19/'I2 CBA Inputs'!$I19*(AI$51-'I2 CBA Inputs'!$H19+1),0),0)*IF(AI$51=FirstYear+AnalysisPeriod-1,1,0),0)*'I2 CBA Inputs'!$A$8</f>
        <v>0</v>
      </c>
      <c r="AJ56" s="18">
        <f>IFERROR(IF(AJ$51&gt;='I2 CBA Inputs'!$H19,MAX('I2 CBA Inputs'!$E19-'I2 CBA Inputs'!$E19/'I2 CBA Inputs'!$I19*(AJ$51-'I2 CBA Inputs'!$H19+1),0),0)*IF(AJ$51=FirstYear+AnalysisPeriod-1,1,0),0)*'I2 CBA Inputs'!$A$8</f>
        <v>0</v>
      </c>
    </row>
    <row r="57" spans="1:36" x14ac:dyDescent="0.2">
      <c r="B57" s="9">
        <f t="shared" si="16"/>
        <v>4</v>
      </c>
      <c r="C57" s="28" t="str">
        <f t="shared" si="16"/>
        <v>Option 1D</v>
      </c>
      <c r="D57" s="28" t="str">
        <f t="shared" si="18"/>
        <v>Substation</v>
      </c>
      <c r="E57" s="13" t="s">
        <v>35</v>
      </c>
      <c r="F57" s="19">
        <f t="shared" si="19"/>
        <v>4294113.3328565601</v>
      </c>
      <c r="G57" s="18">
        <f>IFERROR(IF(G$51&gt;='I2 CBA Inputs'!$H20,MAX('I2 CBA Inputs'!$E20-'I2 CBA Inputs'!$E20/'I2 CBA Inputs'!$I20*(G$51-'I2 CBA Inputs'!$H20+1),0),0)*IF(G$51=FirstYear+AnalysisPeriod-1,1,0),0)*'I2 CBA Inputs'!$A$8</f>
        <v>0</v>
      </c>
      <c r="H57" s="18">
        <f>IFERROR(IF(H$51&gt;='I2 CBA Inputs'!$H20,MAX('I2 CBA Inputs'!$E20-'I2 CBA Inputs'!$E20/'I2 CBA Inputs'!$I20*(H$51-'I2 CBA Inputs'!$H20+1),0),0)*IF(H$51=FirstYear+AnalysisPeriod-1,1,0),0)*'I2 CBA Inputs'!$A$8</f>
        <v>0</v>
      </c>
      <c r="I57" s="18">
        <f>IFERROR(IF(I$51&gt;='I2 CBA Inputs'!$H20,MAX('I2 CBA Inputs'!$E20-'I2 CBA Inputs'!$E20/'I2 CBA Inputs'!$I20*(I$51-'I2 CBA Inputs'!$H20+1),0),0)*IF(I$51=FirstYear+AnalysisPeriod-1,1,0),0)*'I2 CBA Inputs'!$A$8</f>
        <v>0</v>
      </c>
      <c r="J57" s="18">
        <f>IFERROR(IF(J$51&gt;='I2 CBA Inputs'!$H20,MAX('I2 CBA Inputs'!$E20-'I2 CBA Inputs'!$E20/'I2 CBA Inputs'!$I20*(J$51-'I2 CBA Inputs'!$H20+1),0),0)*IF(J$51=FirstYear+AnalysisPeriod-1,1,0),0)*'I2 CBA Inputs'!$A$8</f>
        <v>0</v>
      </c>
      <c r="K57" s="18">
        <f>IFERROR(IF(K$51&gt;='I2 CBA Inputs'!$H20,MAX('I2 CBA Inputs'!$E20-'I2 CBA Inputs'!$E20/'I2 CBA Inputs'!$I20*(K$51-'I2 CBA Inputs'!$H20+1),0),0)*IF(K$51=FirstYear+AnalysisPeriod-1,1,0),0)*'I2 CBA Inputs'!$A$8</f>
        <v>0</v>
      </c>
      <c r="L57" s="18">
        <f>IFERROR(IF(L$51&gt;='I2 CBA Inputs'!$H20,MAX('I2 CBA Inputs'!$E20-'I2 CBA Inputs'!$E20/'I2 CBA Inputs'!$I20*(L$51-'I2 CBA Inputs'!$H20+1),0),0)*IF(L$51=FirstYear+AnalysisPeriod-1,1,0),0)*'I2 CBA Inputs'!$A$8</f>
        <v>0</v>
      </c>
      <c r="M57" s="18">
        <f>IFERROR(IF(M$51&gt;='I2 CBA Inputs'!$H20,MAX('I2 CBA Inputs'!$E20-'I2 CBA Inputs'!$E20/'I2 CBA Inputs'!$I20*(M$51-'I2 CBA Inputs'!$H20+1),0),0)*IF(M$51=FirstYear+AnalysisPeriod-1,1,0),0)*'I2 CBA Inputs'!$A$8</f>
        <v>0</v>
      </c>
      <c r="N57" s="18">
        <f>IFERROR(IF(N$51&gt;='I2 CBA Inputs'!$H20,MAX('I2 CBA Inputs'!$E20-'I2 CBA Inputs'!$E20/'I2 CBA Inputs'!$I20*(N$51-'I2 CBA Inputs'!$H20+1),0),0)*IF(N$51=FirstYear+AnalysisPeriod-1,1,0),0)*'I2 CBA Inputs'!$A$8</f>
        <v>0</v>
      </c>
      <c r="O57" s="18">
        <f>IFERROR(IF(O$51&gt;='I2 CBA Inputs'!$H20,MAX('I2 CBA Inputs'!$E20-'I2 CBA Inputs'!$E20/'I2 CBA Inputs'!$I20*(O$51-'I2 CBA Inputs'!$H20+1),0),0)*IF(O$51=FirstYear+AnalysisPeriod-1,1,0),0)*'I2 CBA Inputs'!$A$8</f>
        <v>0</v>
      </c>
      <c r="P57" s="18">
        <f>IFERROR(IF(P$51&gt;='I2 CBA Inputs'!$H20,MAX('I2 CBA Inputs'!$E20-'I2 CBA Inputs'!$E20/'I2 CBA Inputs'!$I20*(P$51-'I2 CBA Inputs'!$H20+1),0),0)*IF(P$51=FirstYear+AnalysisPeriod-1,1,0),0)*'I2 CBA Inputs'!$A$8</f>
        <v>0</v>
      </c>
      <c r="Q57" s="18">
        <f>IFERROR(IF(Q$51&gt;='I2 CBA Inputs'!$H20,MAX('I2 CBA Inputs'!$E20-'I2 CBA Inputs'!$E20/'I2 CBA Inputs'!$I20*(Q$51-'I2 CBA Inputs'!$H20+1),0),0)*IF(Q$51=FirstYear+AnalysisPeriod-1,1,0),0)*'I2 CBA Inputs'!$A$8</f>
        <v>0</v>
      </c>
      <c r="R57" s="18">
        <f>IFERROR(IF(R$51&gt;='I2 CBA Inputs'!$H20,MAX('I2 CBA Inputs'!$E20-'I2 CBA Inputs'!$E20/'I2 CBA Inputs'!$I20*(R$51-'I2 CBA Inputs'!$H20+1),0),0)*IF(R$51=FirstYear+AnalysisPeriod-1,1,0),0)*'I2 CBA Inputs'!$A$8</f>
        <v>0</v>
      </c>
      <c r="S57" s="18">
        <f>IFERROR(IF(S$51&gt;='I2 CBA Inputs'!$H20,MAX('I2 CBA Inputs'!$E20-'I2 CBA Inputs'!$E20/'I2 CBA Inputs'!$I20*(S$51-'I2 CBA Inputs'!$H20+1),0),0)*IF(S$51=FirstYear+AnalysisPeriod-1,1,0),0)*'I2 CBA Inputs'!$A$8</f>
        <v>0</v>
      </c>
      <c r="T57" s="18">
        <f>IFERROR(IF(T$51&gt;='I2 CBA Inputs'!$H20,MAX('I2 CBA Inputs'!$E20-'I2 CBA Inputs'!$E20/'I2 CBA Inputs'!$I20*(T$51-'I2 CBA Inputs'!$H20+1),0),0)*IF(T$51=FirstYear+AnalysisPeriod-1,1,0),0)*'I2 CBA Inputs'!$A$8</f>
        <v>0</v>
      </c>
      <c r="U57" s="18">
        <f>IFERROR(IF(U$51&gt;='I2 CBA Inputs'!$H20,MAX('I2 CBA Inputs'!$E20-'I2 CBA Inputs'!$E20/'I2 CBA Inputs'!$I20*(U$51-'I2 CBA Inputs'!$H20+1),0),0)*IF(U$51=FirstYear+AnalysisPeriod-1,1,0),0)*'I2 CBA Inputs'!$A$8</f>
        <v>0</v>
      </c>
      <c r="V57" s="18">
        <f>IFERROR(IF(V$51&gt;='I2 CBA Inputs'!$H20,MAX('I2 CBA Inputs'!$E20-'I2 CBA Inputs'!$E20/'I2 CBA Inputs'!$I20*(V$51-'I2 CBA Inputs'!$H20+1),0),0)*IF(V$51=FirstYear+AnalysisPeriod-1,1,0),0)*'I2 CBA Inputs'!$A$8</f>
        <v>0</v>
      </c>
      <c r="W57" s="18">
        <f>IFERROR(IF(W$51&gt;='I2 CBA Inputs'!$H20,MAX('I2 CBA Inputs'!$E20-'I2 CBA Inputs'!$E20/'I2 CBA Inputs'!$I20*(W$51-'I2 CBA Inputs'!$H20+1),0),0)*IF(W$51=FirstYear+AnalysisPeriod-1,1,0),0)*'I2 CBA Inputs'!$A$8</f>
        <v>0</v>
      </c>
      <c r="X57" s="18">
        <f>IFERROR(IF(X$51&gt;='I2 CBA Inputs'!$H20,MAX('I2 CBA Inputs'!$E20-'I2 CBA Inputs'!$E20/'I2 CBA Inputs'!$I20*(X$51-'I2 CBA Inputs'!$H20+1),0),0)*IF(X$51=FirstYear+AnalysisPeriod-1,1,0),0)*'I2 CBA Inputs'!$A$8</f>
        <v>0</v>
      </c>
      <c r="Y57" s="18">
        <f>IFERROR(IF(Y$51&gt;='I2 CBA Inputs'!$H20,MAX('I2 CBA Inputs'!$E20-'I2 CBA Inputs'!$E20/'I2 CBA Inputs'!$I20*(Y$51-'I2 CBA Inputs'!$H20+1),0),0)*IF(Y$51=FirstYear+AnalysisPeriod-1,1,0),0)*'I2 CBA Inputs'!$A$8</f>
        <v>0</v>
      </c>
      <c r="Z57" s="18">
        <f>IFERROR(IF(Z$51&gt;='I2 CBA Inputs'!$H20,MAX('I2 CBA Inputs'!$E20-'I2 CBA Inputs'!$E20/'I2 CBA Inputs'!$I20*(Z$51-'I2 CBA Inputs'!$H20+1),0),0)*IF(Z$51=FirstYear+AnalysisPeriod-1,1,0),0)*'I2 CBA Inputs'!$A$8</f>
        <v>0</v>
      </c>
      <c r="AA57" s="18">
        <f>IFERROR(IF(AA$51&gt;='I2 CBA Inputs'!$H20,MAX('I2 CBA Inputs'!$E20-'I2 CBA Inputs'!$E20/'I2 CBA Inputs'!$I20*(AA$51-'I2 CBA Inputs'!$H20+1),0),0)*IF(AA$51=FirstYear+AnalysisPeriod-1,1,0),0)*'I2 CBA Inputs'!$A$8</f>
        <v>0</v>
      </c>
      <c r="AB57" s="18">
        <f>IFERROR(IF(AB$51&gt;='I2 CBA Inputs'!$H20,MAX('I2 CBA Inputs'!$E20-'I2 CBA Inputs'!$E20/'I2 CBA Inputs'!$I20*(AB$51-'I2 CBA Inputs'!$H20+1),0),0)*IF(AB$51=FirstYear+AnalysisPeriod-1,1,0),0)*'I2 CBA Inputs'!$A$8</f>
        <v>0</v>
      </c>
      <c r="AC57" s="18">
        <f>IFERROR(IF(AC$51&gt;='I2 CBA Inputs'!$H20,MAX('I2 CBA Inputs'!$E20-'I2 CBA Inputs'!$E20/'I2 CBA Inputs'!$I20*(AC$51-'I2 CBA Inputs'!$H20+1),0),0)*IF(AC$51=FirstYear+AnalysisPeriod-1,1,0),0)*'I2 CBA Inputs'!$A$8</f>
        <v>0</v>
      </c>
      <c r="AD57" s="18">
        <f>IFERROR(IF(AD$51&gt;='I2 CBA Inputs'!$H20,MAX('I2 CBA Inputs'!$E20-'I2 CBA Inputs'!$E20/'I2 CBA Inputs'!$I20*(AD$51-'I2 CBA Inputs'!$H20+1),0),0)*IF(AD$51=FirstYear+AnalysisPeriod-1,1,0),0)*'I2 CBA Inputs'!$A$8</f>
        <v>0</v>
      </c>
      <c r="AE57" s="18">
        <f>IFERROR(IF(AE$51&gt;='I2 CBA Inputs'!$H20,MAX('I2 CBA Inputs'!$E20-'I2 CBA Inputs'!$E20/'I2 CBA Inputs'!$I20*(AE$51-'I2 CBA Inputs'!$H20+1),0),0)*IF(AE$51=FirstYear+AnalysisPeriod-1,1,0),0)*'I2 CBA Inputs'!$A$8</f>
        <v>0</v>
      </c>
      <c r="AF57" s="18">
        <f>IFERROR(IF(AF$51&gt;='I2 CBA Inputs'!$H20,MAX('I2 CBA Inputs'!$E20-'I2 CBA Inputs'!$E20/'I2 CBA Inputs'!$I20*(AF$51-'I2 CBA Inputs'!$H20+1),0),0)*IF(AF$51=FirstYear+AnalysisPeriod-1,1,0),0)*'I2 CBA Inputs'!$A$8</f>
        <v>18000000</v>
      </c>
      <c r="AG57" s="18">
        <f>IFERROR(IF(AG$51&gt;='I2 CBA Inputs'!$H20,MAX('I2 CBA Inputs'!$E20-'I2 CBA Inputs'!$E20/'I2 CBA Inputs'!$I20*(AG$51-'I2 CBA Inputs'!$H20+1),0),0)*IF(AG$51=FirstYear+AnalysisPeriod-1,1,0),0)*'I2 CBA Inputs'!$A$8</f>
        <v>0</v>
      </c>
      <c r="AH57" s="18">
        <f>IFERROR(IF(AH$51&gt;='I2 CBA Inputs'!$H20,MAX('I2 CBA Inputs'!$E20-'I2 CBA Inputs'!$E20/'I2 CBA Inputs'!$I20*(AH$51-'I2 CBA Inputs'!$H20+1),0),0)*IF(AH$51=FirstYear+AnalysisPeriod-1,1,0),0)*'I2 CBA Inputs'!$A$8</f>
        <v>0</v>
      </c>
      <c r="AI57" s="18">
        <f>IFERROR(IF(AI$51&gt;='I2 CBA Inputs'!$H20,MAX('I2 CBA Inputs'!$E20-'I2 CBA Inputs'!$E20/'I2 CBA Inputs'!$I20*(AI$51-'I2 CBA Inputs'!$H20+1),0),0)*IF(AI$51=FirstYear+AnalysisPeriod-1,1,0),0)*'I2 CBA Inputs'!$A$8</f>
        <v>0</v>
      </c>
      <c r="AJ57" s="18">
        <f>IFERROR(IF(AJ$51&gt;='I2 CBA Inputs'!$H20,MAX('I2 CBA Inputs'!$E20-'I2 CBA Inputs'!$E20/'I2 CBA Inputs'!$I20*(AJ$51-'I2 CBA Inputs'!$H20+1),0),0)*IF(AJ$51=FirstYear+AnalysisPeriod-1,1,0),0)*'I2 CBA Inputs'!$A$8</f>
        <v>0</v>
      </c>
    </row>
    <row r="58" spans="1:36" x14ac:dyDescent="0.2">
      <c r="B58" s="9">
        <f t="shared" si="16"/>
        <v>5</v>
      </c>
      <c r="C58" s="28" t="str">
        <f t="shared" si="16"/>
        <v>Option 5A</v>
      </c>
      <c r="D58" s="28" t="str">
        <f t="shared" si="18"/>
        <v>Battery</v>
      </c>
      <c r="E58" s="13" t="s">
        <v>35</v>
      </c>
      <c r="F58" s="19">
        <f t="shared" si="19"/>
        <v>0</v>
      </c>
      <c r="G58" s="18">
        <f>IFERROR(IF(G$51&gt;='I2 CBA Inputs'!$H21,MAX('I2 CBA Inputs'!$E21-'I2 CBA Inputs'!$E21/'I2 CBA Inputs'!$I21*(G$51-'I2 CBA Inputs'!$H21+1),0),0)*IF(G$51=FirstYear+AnalysisPeriod-1,1,0),0)*'I2 CBA Inputs'!$A$8</f>
        <v>0</v>
      </c>
      <c r="H58" s="18">
        <f>IFERROR(IF(H$51&gt;='I2 CBA Inputs'!$H21,MAX('I2 CBA Inputs'!$E21-'I2 CBA Inputs'!$E21/'I2 CBA Inputs'!$I21*(H$51-'I2 CBA Inputs'!$H21+1),0),0)*IF(H$51=FirstYear+AnalysisPeriod-1,1,0),0)*'I2 CBA Inputs'!$A$8</f>
        <v>0</v>
      </c>
      <c r="I58" s="18">
        <f>IFERROR(IF(I$51&gt;='I2 CBA Inputs'!$H21,MAX('I2 CBA Inputs'!$E21-'I2 CBA Inputs'!$E21/'I2 CBA Inputs'!$I21*(I$51-'I2 CBA Inputs'!$H21+1),0),0)*IF(I$51=FirstYear+AnalysisPeriod-1,1,0),0)*'I2 CBA Inputs'!$A$8</f>
        <v>0</v>
      </c>
      <c r="J58" s="18">
        <f>IFERROR(IF(J$51&gt;='I2 CBA Inputs'!$H21,MAX('I2 CBA Inputs'!$E21-'I2 CBA Inputs'!$E21/'I2 CBA Inputs'!$I21*(J$51-'I2 CBA Inputs'!$H21+1),0),0)*IF(J$51=FirstYear+AnalysisPeriod-1,1,0),0)*'I2 CBA Inputs'!$A$8</f>
        <v>0</v>
      </c>
      <c r="K58" s="18">
        <f>IFERROR(IF(K$51&gt;='I2 CBA Inputs'!$H21,MAX('I2 CBA Inputs'!$E21-'I2 CBA Inputs'!$E21/'I2 CBA Inputs'!$I21*(K$51-'I2 CBA Inputs'!$H21+1),0),0)*IF(K$51=FirstYear+AnalysisPeriod-1,1,0),0)*'I2 CBA Inputs'!$A$8</f>
        <v>0</v>
      </c>
      <c r="L58" s="18">
        <f>IFERROR(IF(L$51&gt;='I2 CBA Inputs'!$H21,MAX('I2 CBA Inputs'!$E21-'I2 CBA Inputs'!$E21/'I2 CBA Inputs'!$I21*(L$51-'I2 CBA Inputs'!$H21+1),0),0)*IF(L$51=FirstYear+AnalysisPeriod-1,1,0),0)*'I2 CBA Inputs'!$A$8</f>
        <v>0</v>
      </c>
      <c r="M58" s="18">
        <f>IFERROR(IF(M$51&gt;='I2 CBA Inputs'!$H21,MAX('I2 CBA Inputs'!$E21-'I2 CBA Inputs'!$E21/'I2 CBA Inputs'!$I21*(M$51-'I2 CBA Inputs'!$H21+1),0),0)*IF(M$51=FirstYear+AnalysisPeriod-1,1,0),0)*'I2 CBA Inputs'!$A$8</f>
        <v>0</v>
      </c>
      <c r="N58" s="18">
        <f>IFERROR(IF(N$51&gt;='I2 CBA Inputs'!$H21,MAX('I2 CBA Inputs'!$E21-'I2 CBA Inputs'!$E21/'I2 CBA Inputs'!$I21*(N$51-'I2 CBA Inputs'!$H21+1),0),0)*IF(N$51=FirstYear+AnalysisPeriod-1,1,0),0)*'I2 CBA Inputs'!$A$8</f>
        <v>0</v>
      </c>
      <c r="O58" s="18">
        <f>IFERROR(IF(O$51&gt;='I2 CBA Inputs'!$H21,MAX('I2 CBA Inputs'!$E21-'I2 CBA Inputs'!$E21/'I2 CBA Inputs'!$I21*(O$51-'I2 CBA Inputs'!$H21+1),0),0)*IF(O$51=FirstYear+AnalysisPeriod-1,1,0),0)*'I2 CBA Inputs'!$A$8</f>
        <v>0</v>
      </c>
      <c r="P58" s="18">
        <f>IFERROR(IF(P$51&gt;='I2 CBA Inputs'!$H21,MAX('I2 CBA Inputs'!$E21-'I2 CBA Inputs'!$E21/'I2 CBA Inputs'!$I21*(P$51-'I2 CBA Inputs'!$H21+1),0),0)*IF(P$51=FirstYear+AnalysisPeriod-1,1,0),0)*'I2 CBA Inputs'!$A$8</f>
        <v>0</v>
      </c>
      <c r="Q58" s="18">
        <f>IFERROR(IF(Q$51&gt;='I2 CBA Inputs'!$H21,MAX('I2 CBA Inputs'!$E21-'I2 CBA Inputs'!$E21/'I2 CBA Inputs'!$I21*(Q$51-'I2 CBA Inputs'!$H21+1),0),0)*IF(Q$51=FirstYear+AnalysisPeriod-1,1,0),0)*'I2 CBA Inputs'!$A$8</f>
        <v>0</v>
      </c>
      <c r="R58" s="18">
        <f>IFERROR(IF(R$51&gt;='I2 CBA Inputs'!$H21,MAX('I2 CBA Inputs'!$E21-'I2 CBA Inputs'!$E21/'I2 CBA Inputs'!$I21*(R$51-'I2 CBA Inputs'!$H21+1),0),0)*IF(R$51=FirstYear+AnalysisPeriod-1,1,0),0)*'I2 CBA Inputs'!$A$8</f>
        <v>0</v>
      </c>
      <c r="S58" s="18">
        <f>IFERROR(IF(S$51&gt;='I2 CBA Inputs'!$H21,MAX('I2 CBA Inputs'!$E21-'I2 CBA Inputs'!$E21/'I2 CBA Inputs'!$I21*(S$51-'I2 CBA Inputs'!$H21+1),0),0)*IF(S$51=FirstYear+AnalysisPeriod-1,1,0),0)*'I2 CBA Inputs'!$A$8</f>
        <v>0</v>
      </c>
      <c r="T58" s="18">
        <f>IFERROR(IF(T$51&gt;='I2 CBA Inputs'!$H21,MAX('I2 CBA Inputs'!$E21-'I2 CBA Inputs'!$E21/'I2 CBA Inputs'!$I21*(T$51-'I2 CBA Inputs'!$H21+1),0),0)*IF(T$51=FirstYear+AnalysisPeriod-1,1,0),0)*'I2 CBA Inputs'!$A$8</f>
        <v>0</v>
      </c>
      <c r="U58" s="18">
        <f>IFERROR(IF(U$51&gt;='I2 CBA Inputs'!$H21,MAX('I2 CBA Inputs'!$E21-'I2 CBA Inputs'!$E21/'I2 CBA Inputs'!$I21*(U$51-'I2 CBA Inputs'!$H21+1),0),0)*IF(U$51=FirstYear+AnalysisPeriod-1,1,0),0)*'I2 CBA Inputs'!$A$8</f>
        <v>0</v>
      </c>
      <c r="V58" s="18">
        <f>IFERROR(IF(V$51&gt;='I2 CBA Inputs'!$H21,MAX('I2 CBA Inputs'!$E21-'I2 CBA Inputs'!$E21/'I2 CBA Inputs'!$I21*(V$51-'I2 CBA Inputs'!$H21+1),0),0)*IF(V$51=FirstYear+AnalysisPeriod-1,1,0),0)*'I2 CBA Inputs'!$A$8</f>
        <v>0</v>
      </c>
      <c r="W58" s="18">
        <f>IFERROR(IF(W$51&gt;='I2 CBA Inputs'!$H21,MAX('I2 CBA Inputs'!$E21-'I2 CBA Inputs'!$E21/'I2 CBA Inputs'!$I21*(W$51-'I2 CBA Inputs'!$H21+1),0),0)*IF(W$51=FirstYear+AnalysisPeriod-1,1,0),0)*'I2 CBA Inputs'!$A$8</f>
        <v>0</v>
      </c>
      <c r="X58" s="18">
        <f>IFERROR(IF(X$51&gt;='I2 CBA Inputs'!$H21,MAX('I2 CBA Inputs'!$E21-'I2 CBA Inputs'!$E21/'I2 CBA Inputs'!$I21*(X$51-'I2 CBA Inputs'!$H21+1),0),0)*IF(X$51=FirstYear+AnalysisPeriod-1,1,0),0)*'I2 CBA Inputs'!$A$8</f>
        <v>0</v>
      </c>
      <c r="Y58" s="18">
        <f>IFERROR(IF(Y$51&gt;='I2 CBA Inputs'!$H21,MAX('I2 CBA Inputs'!$E21-'I2 CBA Inputs'!$E21/'I2 CBA Inputs'!$I21*(Y$51-'I2 CBA Inputs'!$H21+1),0),0)*IF(Y$51=FirstYear+AnalysisPeriod-1,1,0),0)*'I2 CBA Inputs'!$A$8</f>
        <v>0</v>
      </c>
      <c r="Z58" s="18">
        <f>IFERROR(IF(Z$51&gt;='I2 CBA Inputs'!$H21,MAX('I2 CBA Inputs'!$E21-'I2 CBA Inputs'!$E21/'I2 CBA Inputs'!$I21*(Z$51-'I2 CBA Inputs'!$H21+1),0),0)*IF(Z$51=FirstYear+AnalysisPeriod-1,1,0),0)*'I2 CBA Inputs'!$A$8</f>
        <v>0</v>
      </c>
      <c r="AA58" s="18">
        <f>IFERROR(IF(AA$51&gt;='I2 CBA Inputs'!$H21,MAX('I2 CBA Inputs'!$E21-'I2 CBA Inputs'!$E21/'I2 CBA Inputs'!$I21*(AA$51-'I2 CBA Inputs'!$H21+1),0),0)*IF(AA$51=FirstYear+AnalysisPeriod-1,1,0),0)*'I2 CBA Inputs'!$A$8</f>
        <v>0</v>
      </c>
      <c r="AB58" s="18">
        <f>IFERROR(IF(AB$51&gt;='I2 CBA Inputs'!$H21,MAX('I2 CBA Inputs'!$E21-'I2 CBA Inputs'!$E21/'I2 CBA Inputs'!$I21*(AB$51-'I2 CBA Inputs'!$H21+1),0),0)*IF(AB$51=FirstYear+AnalysisPeriod-1,1,0),0)*'I2 CBA Inputs'!$A$8</f>
        <v>0</v>
      </c>
      <c r="AC58" s="18">
        <f>IFERROR(IF(AC$51&gt;='I2 CBA Inputs'!$H21,MAX('I2 CBA Inputs'!$E21-'I2 CBA Inputs'!$E21/'I2 CBA Inputs'!$I21*(AC$51-'I2 CBA Inputs'!$H21+1),0),0)*IF(AC$51=FirstYear+AnalysisPeriod-1,1,0),0)*'I2 CBA Inputs'!$A$8</f>
        <v>0</v>
      </c>
      <c r="AD58" s="18">
        <f>IFERROR(IF(AD$51&gt;='I2 CBA Inputs'!$H21,MAX('I2 CBA Inputs'!$E21-'I2 CBA Inputs'!$E21/'I2 CBA Inputs'!$I21*(AD$51-'I2 CBA Inputs'!$H21+1),0),0)*IF(AD$51=FirstYear+AnalysisPeriod-1,1,0),0)*'I2 CBA Inputs'!$A$8</f>
        <v>0</v>
      </c>
      <c r="AE58" s="18">
        <f>IFERROR(IF(AE$51&gt;='I2 CBA Inputs'!$H21,MAX('I2 CBA Inputs'!$E21-'I2 CBA Inputs'!$E21/'I2 CBA Inputs'!$I21*(AE$51-'I2 CBA Inputs'!$H21+1),0),0)*IF(AE$51=FirstYear+AnalysisPeriod-1,1,0),0)*'I2 CBA Inputs'!$A$8</f>
        <v>0</v>
      </c>
      <c r="AF58" s="18">
        <f>IFERROR(IF(AF$51&gt;='I2 CBA Inputs'!$H21,MAX('I2 CBA Inputs'!$E21-'I2 CBA Inputs'!$E21/'I2 CBA Inputs'!$I21*(AF$51-'I2 CBA Inputs'!$H21+1),0),0)*IF(AF$51=FirstYear+AnalysisPeriod-1,1,0),0)*'I2 CBA Inputs'!$A$8</f>
        <v>0</v>
      </c>
      <c r="AG58" s="18">
        <f>IFERROR(IF(AG$51&gt;='I2 CBA Inputs'!$H21,MAX('I2 CBA Inputs'!$E21-'I2 CBA Inputs'!$E21/'I2 CBA Inputs'!$I21*(AG$51-'I2 CBA Inputs'!$H21+1),0),0)*IF(AG$51=FirstYear+AnalysisPeriod-1,1,0),0)*'I2 CBA Inputs'!$A$8</f>
        <v>0</v>
      </c>
      <c r="AH58" s="18">
        <f>IFERROR(IF(AH$51&gt;='I2 CBA Inputs'!$H21,MAX('I2 CBA Inputs'!$E21-'I2 CBA Inputs'!$E21/'I2 CBA Inputs'!$I21*(AH$51-'I2 CBA Inputs'!$H21+1),0),0)*IF(AH$51=FirstYear+AnalysisPeriod-1,1,0),0)*'I2 CBA Inputs'!$A$8</f>
        <v>0</v>
      </c>
      <c r="AI58" s="18">
        <f>IFERROR(IF(AI$51&gt;='I2 CBA Inputs'!$H21,MAX('I2 CBA Inputs'!$E21-'I2 CBA Inputs'!$E21/'I2 CBA Inputs'!$I21*(AI$51-'I2 CBA Inputs'!$H21+1),0),0)*IF(AI$51=FirstYear+AnalysisPeriod-1,1,0),0)*'I2 CBA Inputs'!$A$8</f>
        <v>0</v>
      </c>
      <c r="AJ58" s="18">
        <f>IFERROR(IF(AJ$51&gt;='I2 CBA Inputs'!$H21,MAX('I2 CBA Inputs'!$E21-'I2 CBA Inputs'!$E21/'I2 CBA Inputs'!$I21*(AJ$51-'I2 CBA Inputs'!$H21+1),0),0)*IF(AJ$51=FirstYear+AnalysisPeriod-1,1,0),0)*'I2 CBA Inputs'!$A$8</f>
        <v>0</v>
      </c>
    </row>
    <row r="59" spans="1:36" x14ac:dyDescent="0.2">
      <c r="B59" s="9">
        <f t="shared" si="16"/>
        <v>5</v>
      </c>
      <c r="C59" s="28" t="str">
        <f t="shared" si="16"/>
        <v>Option 5A</v>
      </c>
      <c r="D59" s="28" t="str">
        <f t="shared" si="18"/>
        <v>Battery</v>
      </c>
      <c r="E59" s="13" t="s">
        <v>35</v>
      </c>
      <c r="F59" s="19">
        <f t="shared" si="19"/>
        <v>2252023.8812314407</v>
      </c>
      <c r="G59" s="18">
        <f>IFERROR(IF(G$51&gt;='I2 CBA Inputs'!$H22,MAX('I2 CBA Inputs'!$E22-'I2 CBA Inputs'!$E22/'I2 CBA Inputs'!$I22*(G$51-'I2 CBA Inputs'!$H22+1),0),0)*IF(G$51=FirstYear+AnalysisPeriod-1,1,0),0)*'I2 CBA Inputs'!$A$8</f>
        <v>0</v>
      </c>
      <c r="H59" s="18">
        <f>IFERROR(IF(H$51&gt;='I2 CBA Inputs'!$H22,MAX('I2 CBA Inputs'!$E22-'I2 CBA Inputs'!$E22/'I2 CBA Inputs'!$I22*(H$51-'I2 CBA Inputs'!$H22+1),0),0)*IF(H$51=FirstYear+AnalysisPeriod-1,1,0),0)*'I2 CBA Inputs'!$A$8</f>
        <v>0</v>
      </c>
      <c r="I59" s="18">
        <f>IFERROR(IF(I$51&gt;='I2 CBA Inputs'!$H22,MAX('I2 CBA Inputs'!$E22-'I2 CBA Inputs'!$E22/'I2 CBA Inputs'!$I22*(I$51-'I2 CBA Inputs'!$H22+1),0),0)*IF(I$51=FirstYear+AnalysisPeriod-1,1,0),0)*'I2 CBA Inputs'!$A$8</f>
        <v>0</v>
      </c>
      <c r="J59" s="18">
        <f>IFERROR(IF(J$51&gt;='I2 CBA Inputs'!$H22,MAX('I2 CBA Inputs'!$E22-'I2 CBA Inputs'!$E22/'I2 CBA Inputs'!$I22*(J$51-'I2 CBA Inputs'!$H22+1),0),0)*IF(J$51=FirstYear+AnalysisPeriod-1,1,0),0)*'I2 CBA Inputs'!$A$8</f>
        <v>0</v>
      </c>
      <c r="K59" s="18">
        <f>IFERROR(IF(K$51&gt;='I2 CBA Inputs'!$H22,MAX('I2 CBA Inputs'!$E22-'I2 CBA Inputs'!$E22/'I2 CBA Inputs'!$I22*(K$51-'I2 CBA Inputs'!$H22+1),0),0)*IF(K$51=FirstYear+AnalysisPeriod-1,1,0),0)*'I2 CBA Inputs'!$A$8</f>
        <v>0</v>
      </c>
      <c r="L59" s="18">
        <f>IFERROR(IF(L$51&gt;='I2 CBA Inputs'!$H22,MAX('I2 CBA Inputs'!$E22-'I2 CBA Inputs'!$E22/'I2 CBA Inputs'!$I22*(L$51-'I2 CBA Inputs'!$H22+1),0),0)*IF(L$51=FirstYear+AnalysisPeriod-1,1,0),0)*'I2 CBA Inputs'!$A$8</f>
        <v>0</v>
      </c>
      <c r="M59" s="18">
        <f>IFERROR(IF(M$51&gt;='I2 CBA Inputs'!$H22,MAX('I2 CBA Inputs'!$E22-'I2 CBA Inputs'!$E22/'I2 CBA Inputs'!$I22*(M$51-'I2 CBA Inputs'!$H22+1),0),0)*IF(M$51=FirstYear+AnalysisPeriod-1,1,0),0)*'I2 CBA Inputs'!$A$8</f>
        <v>0</v>
      </c>
      <c r="N59" s="18">
        <f>IFERROR(IF(N$51&gt;='I2 CBA Inputs'!$H22,MAX('I2 CBA Inputs'!$E22-'I2 CBA Inputs'!$E22/'I2 CBA Inputs'!$I22*(N$51-'I2 CBA Inputs'!$H22+1),0),0)*IF(N$51=FirstYear+AnalysisPeriod-1,1,0),0)*'I2 CBA Inputs'!$A$8</f>
        <v>0</v>
      </c>
      <c r="O59" s="18">
        <f>IFERROR(IF(O$51&gt;='I2 CBA Inputs'!$H22,MAX('I2 CBA Inputs'!$E22-'I2 CBA Inputs'!$E22/'I2 CBA Inputs'!$I22*(O$51-'I2 CBA Inputs'!$H22+1),0),0)*IF(O$51=FirstYear+AnalysisPeriod-1,1,0),0)*'I2 CBA Inputs'!$A$8</f>
        <v>0</v>
      </c>
      <c r="P59" s="18">
        <f>IFERROR(IF(P$51&gt;='I2 CBA Inputs'!$H22,MAX('I2 CBA Inputs'!$E22-'I2 CBA Inputs'!$E22/'I2 CBA Inputs'!$I22*(P$51-'I2 CBA Inputs'!$H22+1),0),0)*IF(P$51=FirstYear+AnalysisPeriod-1,1,0),0)*'I2 CBA Inputs'!$A$8</f>
        <v>0</v>
      </c>
      <c r="Q59" s="18">
        <f>IFERROR(IF(Q$51&gt;='I2 CBA Inputs'!$H22,MAX('I2 CBA Inputs'!$E22-'I2 CBA Inputs'!$E22/'I2 CBA Inputs'!$I22*(Q$51-'I2 CBA Inputs'!$H22+1),0),0)*IF(Q$51=FirstYear+AnalysisPeriod-1,1,0),0)*'I2 CBA Inputs'!$A$8</f>
        <v>0</v>
      </c>
      <c r="R59" s="18">
        <f>IFERROR(IF(R$51&gt;='I2 CBA Inputs'!$H22,MAX('I2 CBA Inputs'!$E22-'I2 CBA Inputs'!$E22/'I2 CBA Inputs'!$I22*(R$51-'I2 CBA Inputs'!$H22+1),0),0)*IF(R$51=FirstYear+AnalysisPeriod-1,1,0),0)*'I2 CBA Inputs'!$A$8</f>
        <v>0</v>
      </c>
      <c r="S59" s="18">
        <f>IFERROR(IF(S$51&gt;='I2 CBA Inputs'!$H22,MAX('I2 CBA Inputs'!$E22-'I2 CBA Inputs'!$E22/'I2 CBA Inputs'!$I22*(S$51-'I2 CBA Inputs'!$H22+1),0),0)*IF(S$51=FirstYear+AnalysisPeriod-1,1,0),0)*'I2 CBA Inputs'!$A$8</f>
        <v>0</v>
      </c>
      <c r="T59" s="18">
        <f>IFERROR(IF(T$51&gt;='I2 CBA Inputs'!$H22,MAX('I2 CBA Inputs'!$E22-'I2 CBA Inputs'!$E22/'I2 CBA Inputs'!$I22*(T$51-'I2 CBA Inputs'!$H22+1),0),0)*IF(T$51=FirstYear+AnalysisPeriod-1,1,0),0)*'I2 CBA Inputs'!$A$8</f>
        <v>0</v>
      </c>
      <c r="U59" s="18">
        <f>IFERROR(IF(U$51&gt;='I2 CBA Inputs'!$H22,MAX('I2 CBA Inputs'!$E22-'I2 CBA Inputs'!$E22/'I2 CBA Inputs'!$I22*(U$51-'I2 CBA Inputs'!$H22+1),0),0)*IF(U$51=FirstYear+AnalysisPeriod-1,1,0),0)*'I2 CBA Inputs'!$A$8</f>
        <v>0</v>
      </c>
      <c r="V59" s="18">
        <f>IFERROR(IF(V$51&gt;='I2 CBA Inputs'!$H22,MAX('I2 CBA Inputs'!$E22-'I2 CBA Inputs'!$E22/'I2 CBA Inputs'!$I22*(V$51-'I2 CBA Inputs'!$H22+1),0),0)*IF(V$51=FirstYear+AnalysisPeriod-1,1,0),0)*'I2 CBA Inputs'!$A$8</f>
        <v>0</v>
      </c>
      <c r="W59" s="18">
        <f>IFERROR(IF(W$51&gt;='I2 CBA Inputs'!$H22,MAX('I2 CBA Inputs'!$E22-'I2 CBA Inputs'!$E22/'I2 CBA Inputs'!$I22*(W$51-'I2 CBA Inputs'!$H22+1),0),0)*IF(W$51=FirstYear+AnalysisPeriod-1,1,0),0)*'I2 CBA Inputs'!$A$8</f>
        <v>0</v>
      </c>
      <c r="X59" s="18">
        <f>IFERROR(IF(X$51&gt;='I2 CBA Inputs'!$H22,MAX('I2 CBA Inputs'!$E22-'I2 CBA Inputs'!$E22/'I2 CBA Inputs'!$I22*(X$51-'I2 CBA Inputs'!$H22+1),0),0)*IF(X$51=FirstYear+AnalysisPeriod-1,1,0),0)*'I2 CBA Inputs'!$A$8</f>
        <v>0</v>
      </c>
      <c r="Y59" s="18">
        <f>IFERROR(IF(Y$51&gt;='I2 CBA Inputs'!$H22,MAX('I2 CBA Inputs'!$E22-'I2 CBA Inputs'!$E22/'I2 CBA Inputs'!$I22*(Y$51-'I2 CBA Inputs'!$H22+1),0),0)*IF(Y$51=FirstYear+AnalysisPeriod-1,1,0),0)*'I2 CBA Inputs'!$A$8</f>
        <v>0</v>
      </c>
      <c r="Z59" s="18">
        <f>IFERROR(IF(Z$51&gt;='I2 CBA Inputs'!$H22,MAX('I2 CBA Inputs'!$E22-'I2 CBA Inputs'!$E22/'I2 CBA Inputs'!$I22*(Z$51-'I2 CBA Inputs'!$H22+1),0),0)*IF(Z$51=FirstYear+AnalysisPeriod-1,1,0),0)*'I2 CBA Inputs'!$A$8</f>
        <v>0</v>
      </c>
      <c r="AA59" s="18">
        <f>IFERROR(IF(AA$51&gt;='I2 CBA Inputs'!$H22,MAX('I2 CBA Inputs'!$E22-'I2 CBA Inputs'!$E22/'I2 CBA Inputs'!$I22*(AA$51-'I2 CBA Inputs'!$H22+1),0),0)*IF(AA$51=FirstYear+AnalysisPeriod-1,1,0),0)*'I2 CBA Inputs'!$A$8</f>
        <v>0</v>
      </c>
      <c r="AB59" s="18">
        <f>IFERROR(IF(AB$51&gt;='I2 CBA Inputs'!$H22,MAX('I2 CBA Inputs'!$E22-'I2 CBA Inputs'!$E22/'I2 CBA Inputs'!$I22*(AB$51-'I2 CBA Inputs'!$H22+1),0),0)*IF(AB$51=FirstYear+AnalysisPeriod-1,1,0),0)*'I2 CBA Inputs'!$A$8</f>
        <v>0</v>
      </c>
      <c r="AC59" s="18">
        <f>IFERROR(IF(AC$51&gt;='I2 CBA Inputs'!$H22,MAX('I2 CBA Inputs'!$E22-'I2 CBA Inputs'!$E22/'I2 CBA Inputs'!$I22*(AC$51-'I2 CBA Inputs'!$H22+1),0),0)*IF(AC$51=FirstYear+AnalysisPeriod-1,1,0),0)*'I2 CBA Inputs'!$A$8</f>
        <v>0</v>
      </c>
      <c r="AD59" s="18">
        <f>IFERROR(IF(AD$51&gt;='I2 CBA Inputs'!$H22,MAX('I2 CBA Inputs'!$E22-'I2 CBA Inputs'!$E22/'I2 CBA Inputs'!$I22*(AD$51-'I2 CBA Inputs'!$H22+1),0),0)*IF(AD$51=FirstYear+AnalysisPeriod-1,1,0),0)*'I2 CBA Inputs'!$A$8</f>
        <v>0</v>
      </c>
      <c r="AE59" s="18">
        <f>IFERROR(IF(AE$51&gt;='I2 CBA Inputs'!$H22,MAX('I2 CBA Inputs'!$E22-'I2 CBA Inputs'!$E22/'I2 CBA Inputs'!$I22*(AE$51-'I2 CBA Inputs'!$H22+1),0),0)*IF(AE$51=FirstYear+AnalysisPeriod-1,1,0),0)*'I2 CBA Inputs'!$A$8</f>
        <v>0</v>
      </c>
      <c r="AF59" s="18">
        <f>IFERROR(IF(AF$51&gt;='I2 CBA Inputs'!$H22,MAX('I2 CBA Inputs'!$E22-'I2 CBA Inputs'!$E22/'I2 CBA Inputs'!$I22*(AF$51-'I2 CBA Inputs'!$H22+1),0),0)*IF(AF$51=FirstYear+AnalysisPeriod-1,1,0),0)*'I2 CBA Inputs'!$A$8</f>
        <v>9440000</v>
      </c>
      <c r="AG59" s="18">
        <f>IFERROR(IF(AG$51&gt;='I2 CBA Inputs'!$H22,MAX('I2 CBA Inputs'!$E22-'I2 CBA Inputs'!$E22/'I2 CBA Inputs'!$I22*(AG$51-'I2 CBA Inputs'!$H22+1),0),0)*IF(AG$51=FirstYear+AnalysisPeriod-1,1,0),0)*'I2 CBA Inputs'!$A$8</f>
        <v>0</v>
      </c>
      <c r="AH59" s="18">
        <f>IFERROR(IF(AH$51&gt;='I2 CBA Inputs'!$H22,MAX('I2 CBA Inputs'!$E22-'I2 CBA Inputs'!$E22/'I2 CBA Inputs'!$I22*(AH$51-'I2 CBA Inputs'!$H22+1),0),0)*IF(AH$51=FirstYear+AnalysisPeriod-1,1,0),0)*'I2 CBA Inputs'!$A$8</f>
        <v>0</v>
      </c>
      <c r="AI59" s="18">
        <f>IFERROR(IF(AI$51&gt;='I2 CBA Inputs'!$H22,MAX('I2 CBA Inputs'!$E22-'I2 CBA Inputs'!$E22/'I2 CBA Inputs'!$I22*(AI$51-'I2 CBA Inputs'!$H22+1),0),0)*IF(AI$51=FirstYear+AnalysisPeriod-1,1,0),0)*'I2 CBA Inputs'!$A$8</f>
        <v>0</v>
      </c>
      <c r="AJ59" s="18">
        <f>IFERROR(IF(AJ$51&gt;='I2 CBA Inputs'!$H22,MAX('I2 CBA Inputs'!$E22-'I2 CBA Inputs'!$E22/'I2 CBA Inputs'!$I22*(AJ$51-'I2 CBA Inputs'!$H22+1),0),0)*IF(AJ$51=FirstYear+AnalysisPeriod-1,1,0),0)*'I2 CBA Inputs'!$A$8</f>
        <v>0</v>
      </c>
    </row>
    <row r="60" spans="1:36" x14ac:dyDescent="0.2">
      <c r="B60" s="9">
        <f t="shared" si="16"/>
        <v>5</v>
      </c>
      <c r="C60" s="28" t="str">
        <f t="shared" si="16"/>
        <v>Option 5A</v>
      </c>
      <c r="D60" s="28" t="str">
        <f t="shared" si="18"/>
        <v>Connection assets</v>
      </c>
      <c r="E60" s="13" t="s">
        <v>35</v>
      </c>
      <c r="F60" s="19">
        <f t="shared" si="19"/>
        <v>3349408.3996281172</v>
      </c>
      <c r="G60" s="18">
        <f>IFERROR(IF(G$51&gt;='I2 CBA Inputs'!$H23,MAX('I2 CBA Inputs'!$E23-'I2 CBA Inputs'!$E23/'I2 CBA Inputs'!$I23*(G$51-'I2 CBA Inputs'!$H23+1),0),0)*IF(G$51=FirstYear+AnalysisPeriod-1,1,0),0)*'I2 CBA Inputs'!$A$8</f>
        <v>0</v>
      </c>
      <c r="H60" s="18">
        <f>IFERROR(IF(H$51&gt;='I2 CBA Inputs'!$H23,MAX('I2 CBA Inputs'!$E23-'I2 CBA Inputs'!$E23/'I2 CBA Inputs'!$I23*(H$51-'I2 CBA Inputs'!$H23+1),0),0)*IF(H$51=FirstYear+AnalysisPeriod-1,1,0),0)*'I2 CBA Inputs'!$A$8</f>
        <v>0</v>
      </c>
      <c r="I60" s="18">
        <f>IFERROR(IF(I$51&gt;='I2 CBA Inputs'!$H23,MAX('I2 CBA Inputs'!$E23-'I2 CBA Inputs'!$E23/'I2 CBA Inputs'!$I23*(I$51-'I2 CBA Inputs'!$H23+1),0),0)*IF(I$51=FirstYear+AnalysisPeriod-1,1,0),0)*'I2 CBA Inputs'!$A$8</f>
        <v>0</v>
      </c>
      <c r="J60" s="18">
        <f>IFERROR(IF(J$51&gt;='I2 CBA Inputs'!$H23,MAX('I2 CBA Inputs'!$E23-'I2 CBA Inputs'!$E23/'I2 CBA Inputs'!$I23*(J$51-'I2 CBA Inputs'!$H23+1),0),0)*IF(J$51=FirstYear+AnalysisPeriod-1,1,0),0)*'I2 CBA Inputs'!$A$8</f>
        <v>0</v>
      </c>
      <c r="K60" s="18">
        <f>IFERROR(IF(K$51&gt;='I2 CBA Inputs'!$H23,MAX('I2 CBA Inputs'!$E23-'I2 CBA Inputs'!$E23/'I2 CBA Inputs'!$I23*(K$51-'I2 CBA Inputs'!$H23+1),0),0)*IF(K$51=FirstYear+AnalysisPeriod-1,1,0),0)*'I2 CBA Inputs'!$A$8</f>
        <v>0</v>
      </c>
      <c r="L60" s="18">
        <f>IFERROR(IF(L$51&gt;='I2 CBA Inputs'!$H23,MAX('I2 CBA Inputs'!$E23-'I2 CBA Inputs'!$E23/'I2 CBA Inputs'!$I23*(L$51-'I2 CBA Inputs'!$H23+1),0),0)*IF(L$51=FirstYear+AnalysisPeriod-1,1,0),0)*'I2 CBA Inputs'!$A$8</f>
        <v>0</v>
      </c>
      <c r="M60" s="18">
        <f>IFERROR(IF(M$51&gt;='I2 CBA Inputs'!$H23,MAX('I2 CBA Inputs'!$E23-'I2 CBA Inputs'!$E23/'I2 CBA Inputs'!$I23*(M$51-'I2 CBA Inputs'!$H23+1),0),0)*IF(M$51=FirstYear+AnalysisPeriod-1,1,0),0)*'I2 CBA Inputs'!$A$8</f>
        <v>0</v>
      </c>
      <c r="N60" s="18">
        <f>IFERROR(IF(N$51&gt;='I2 CBA Inputs'!$H23,MAX('I2 CBA Inputs'!$E23-'I2 CBA Inputs'!$E23/'I2 CBA Inputs'!$I23*(N$51-'I2 CBA Inputs'!$H23+1),0),0)*IF(N$51=FirstYear+AnalysisPeriod-1,1,0),0)*'I2 CBA Inputs'!$A$8</f>
        <v>0</v>
      </c>
      <c r="O60" s="18">
        <f>IFERROR(IF(O$51&gt;='I2 CBA Inputs'!$H23,MAX('I2 CBA Inputs'!$E23-'I2 CBA Inputs'!$E23/'I2 CBA Inputs'!$I23*(O$51-'I2 CBA Inputs'!$H23+1),0),0)*IF(O$51=FirstYear+AnalysisPeriod-1,1,0),0)*'I2 CBA Inputs'!$A$8</f>
        <v>0</v>
      </c>
      <c r="P60" s="18">
        <f>IFERROR(IF(P$51&gt;='I2 CBA Inputs'!$H23,MAX('I2 CBA Inputs'!$E23-'I2 CBA Inputs'!$E23/'I2 CBA Inputs'!$I23*(P$51-'I2 CBA Inputs'!$H23+1),0),0)*IF(P$51=FirstYear+AnalysisPeriod-1,1,0),0)*'I2 CBA Inputs'!$A$8</f>
        <v>0</v>
      </c>
      <c r="Q60" s="18">
        <f>IFERROR(IF(Q$51&gt;='I2 CBA Inputs'!$H23,MAX('I2 CBA Inputs'!$E23-'I2 CBA Inputs'!$E23/'I2 CBA Inputs'!$I23*(Q$51-'I2 CBA Inputs'!$H23+1),0),0)*IF(Q$51=FirstYear+AnalysisPeriod-1,1,0),0)*'I2 CBA Inputs'!$A$8</f>
        <v>0</v>
      </c>
      <c r="R60" s="18">
        <f>IFERROR(IF(R$51&gt;='I2 CBA Inputs'!$H23,MAX('I2 CBA Inputs'!$E23-'I2 CBA Inputs'!$E23/'I2 CBA Inputs'!$I23*(R$51-'I2 CBA Inputs'!$H23+1),0),0)*IF(R$51=FirstYear+AnalysisPeriod-1,1,0),0)*'I2 CBA Inputs'!$A$8</f>
        <v>0</v>
      </c>
      <c r="S60" s="18">
        <f>IFERROR(IF(S$51&gt;='I2 CBA Inputs'!$H23,MAX('I2 CBA Inputs'!$E23-'I2 CBA Inputs'!$E23/'I2 CBA Inputs'!$I23*(S$51-'I2 CBA Inputs'!$H23+1),0),0)*IF(S$51=FirstYear+AnalysisPeriod-1,1,0),0)*'I2 CBA Inputs'!$A$8</f>
        <v>0</v>
      </c>
      <c r="T60" s="18">
        <f>IFERROR(IF(T$51&gt;='I2 CBA Inputs'!$H23,MAX('I2 CBA Inputs'!$E23-'I2 CBA Inputs'!$E23/'I2 CBA Inputs'!$I23*(T$51-'I2 CBA Inputs'!$H23+1),0),0)*IF(T$51=FirstYear+AnalysisPeriod-1,1,0),0)*'I2 CBA Inputs'!$A$8</f>
        <v>0</v>
      </c>
      <c r="U60" s="18">
        <f>IFERROR(IF(U$51&gt;='I2 CBA Inputs'!$H23,MAX('I2 CBA Inputs'!$E23-'I2 CBA Inputs'!$E23/'I2 CBA Inputs'!$I23*(U$51-'I2 CBA Inputs'!$H23+1),0),0)*IF(U$51=FirstYear+AnalysisPeriod-1,1,0),0)*'I2 CBA Inputs'!$A$8</f>
        <v>0</v>
      </c>
      <c r="V60" s="18">
        <f>IFERROR(IF(V$51&gt;='I2 CBA Inputs'!$H23,MAX('I2 CBA Inputs'!$E23-'I2 CBA Inputs'!$E23/'I2 CBA Inputs'!$I23*(V$51-'I2 CBA Inputs'!$H23+1),0),0)*IF(V$51=FirstYear+AnalysisPeriod-1,1,0),0)*'I2 CBA Inputs'!$A$8</f>
        <v>0</v>
      </c>
      <c r="W60" s="18">
        <f>IFERROR(IF(W$51&gt;='I2 CBA Inputs'!$H23,MAX('I2 CBA Inputs'!$E23-'I2 CBA Inputs'!$E23/'I2 CBA Inputs'!$I23*(W$51-'I2 CBA Inputs'!$H23+1),0),0)*IF(W$51=FirstYear+AnalysisPeriod-1,1,0),0)*'I2 CBA Inputs'!$A$8</f>
        <v>0</v>
      </c>
      <c r="X60" s="18">
        <f>IFERROR(IF(X$51&gt;='I2 CBA Inputs'!$H23,MAX('I2 CBA Inputs'!$E23-'I2 CBA Inputs'!$E23/'I2 CBA Inputs'!$I23*(X$51-'I2 CBA Inputs'!$H23+1),0),0)*IF(X$51=FirstYear+AnalysisPeriod-1,1,0),0)*'I2 CBA Inputs'!$A$8</f>
        <v>0</v>
      </c>
      <c r="Y60" s="18">
        <f>IFERROR(IF(Y$51&gt;='I2 CBA Inputs'!$H23,MAX('I2 CBA Inputs'!$E23-'I2 CBA Inputs'!$E23/'I2 CBA Inputs'!$I23*(Y$51-'I2 CBA Inputs'!$H23+1),0),0)*IF(Y$51=FirstYear+AnalysisPeriod-1,1,0),0)*'I2 CBA Inputs'!$A$8</f>
        <v>0</v>
      </c>
      <c r="Z60" s="18">
        <f>IFERROR(IF(Z$51&gt;='I2 CBA Inputs'!$H23,MAX('I2 CBA Inputs'!$E23-'I2 CBA Inputs'!$E23/'I2 CBA Inputs'!$I23*(Z$51-'I2 CBA Inputs'!$H23+1),0),0)*IF(Z$51=FirstYear+AnalysisPeriod-1,1,0),0)*'I2 CBA Inputs'!$A$8</f>
        <v>0</v>
      </c>
      <c r="AA60" s="18">
        <f>IFERROR(IF(AA$51&gt;='I2 CBA Inputs'!$H23,MAX('I2 CBA Inputs'!$E23-'I2 CBA Inputs'!$E23/'I2 CBA Inputs'!$I23*(AA$51-'I2 CBA Inputs'!$H23+1),0),0)*IF(AA$51=FirstYear+AnalysisPeriod-1,1,0),0)*'I2 CBA Inputs'!$A$8</f>
        <v>0</v>
      </c>
      <c r="AB60" s="18">
        <f>IFERROR(IF(AB$51&gt;='I2 CBA Inputs'!$H23,MAX('I2 CBA Inputs'!$E23-'I2 CBA Inputs'!$E23/'I2 CBA Inputs'!$I23*(AB$51-'I2 CBA Inputs'!$H23+1),0),0)*IF(AB$51=FirstYear+AnalysisPeriod-1,1,0),0)*'I2 CBA Inputs'!$A$8</f>
        <v>0</v>
      </c>
      <c r="AC60" s="18">
        <f>IFERROR(IF(AC$51&gt;='I2 CBA Inputs'!$H23,MAX('I2 CBA Inputs'!$E23-'I2 CBA Inputs'!$E23/'I2 CBA Inputs'!$I23*(AC$51-'I2 CBA Inputs'!$H23+1),0),0)*IF(AC$51=FirstYear+AnalysisPeriod-1,1,0),0)*'I2 CBA Inputs'!$A$8</f>
        <v>0</v>
      </c>
      <c r="AD60" s="18">
        <f>IFERROR(IF(AD$51&gt;='I2 CBA Inputs'!$H23,MAX('I2 CBA Inputs'!$E23-'I2 CBA Inputs'!$E23/'I2 CBA Inputs'!$I23*(AD$51-'I2 CBA Inputs'!$H23+1),0),0)*IF(AD$51=FirstYear+AnalysisPeriod-1,1,0),0)*'I2 CBA Inputs'!$A$8</f>
        <v>0</v>
      </c>
      <c r="AE60" s="18">
        <f>IFERROR(IF(AE$51&gt;='I2 CBA Inputs'!$H23,MAX('I2 CBA Inputs'!$E23-'I2 CBA Inputs'!$E23/'I2 CBA Inputs'!$I23*(AE$51-'I2 CBA Inputs'!$H23+1),0),0)*IF(AE$51=FirstYear+AnalysisPeriod-1,1,0),0)*'I2 CBA Inputs'!$A$8</f>
        <v>0</v>
      </c>
      <c r="AF60" s="18">
        <f>IFERROR(IF(AF$51&gt;='I2 CBA Inputs'!$H23,MAX('I2 CBA Inputs'!$E23-'I2 CBA Inputs'!$E23/'I2 CBA Inputs'!$I23*(AF$51-'I2 CBA Inputs'!$H23+1),0),0)*IF(AF$51=FirstYear+AnalysisPeriod-1,1,0),0)*'I2 CBA Inputs'!$A$8</f>
        <v>14040000</v>
      </c>
      <c r="AG60" s="18">
        <f>IFERROR(IF(AG$51&gt;='I2 CBA Inputs'!$H23,MAX('I2 CBA Inputs'!$E23-'I2 CBA Inputs'!$E23/'I2 CBA Inputs'!$I23*(AG$51-'I2 CBA Inputs'!$H23+1),0),0)*IF(AG$51=FirstYear+AnalysisPeriod-1,1,0),0)*'I2 CBA Inputs'!$A$8</f>
        <v>0</v>
      </c>
      <c r="AH60" s="18">
        <f>IFERROR(IF(AH$51&gt;='I2 CBA Inputs'!$H23,MAX('I2 CBA Inputs'!$E23-'I2 CBA Inputs'!$E23/'I2 CBA Inputs'!$I23*(AH$51-'I2 CBA Inputs'!$H23+1),0),0)*IF(AH$51=FirstYear+AnalysisPeriod-1,1,0),0)*'I2 CBA Inputs'!$A$8</f>
        <v>0</v>
      </c>
      <c r="AI60" s="18">
        <f>IFERROR(IF(AI$51&gt;='I2 CBA Inputs'!$H23,MAX('I2 CBA Inputs'!$E23-'I2 CBA Inputs'!$E23/'I2 CBA Inputs'!$I23*(AI$51-'I2 CBA Inputs'!$H23+1),0),0)*IF(AI$51=FirstYear+AnalysisPeriod-1,1,0),0)*'I2 CBA Inputs'!$A$8</f>
        <v>0</v>
      </c>
      <c r="AJ60" s="18">
        <f>IFERROR(IF(AJ$51&gt;='I2 CBA Inputs'!$H23,MAX('I2 CBA Inputs'!$E23-'I2 CBA Inputs'!$E23/'I2 CBA Inputs'!$I23*(AJ$51-'I2 CBA Inputs'!$H23+1),0),0)*IF(AJ$51=FirstYear+AnalysisPeriod-1,1,0),0)*'I2 CBA Inputs'!$A$8</f>
        <v>0</v>
      </c>
    </row>
    <row r="61" spans="1:36" x14ac:dyDescent="0.2">
      <c r="B61" s="9">
        <f t="shared" si="16"/>
        <v>6</v>
      </c>
      <c r="C61" s="28" t="str">
        <f t="shared" si="16"/>
        <v>Option 5B</v>
      </c>
      <c r="D61" s="28" t="str">
        <f t="shared" si="18"/>
        <v>Battery</v>
      </c>
      <c r="E61" s="13" t="s">
        <v>35</v>
      </c>
      <c r="F61" s="19">
        <f t="shared" si="19"/>
        <v>0</v>
      </c>
      <c r="G61" s="18">
        <f>IFERROR(IF(G$51&gt;='I2 CBA Inputs'!$H24,MAX('I2 CBA Inputs'!$E24-'I2 CBA Inputs'!$E24/'I2 CBA Inputs'!$I24*(G$51-'I2 CBA Inputs'!$H24+1),0),0)*IF(G$51=FirstYear+AnalysisPeriod-1,1,0),0)*'I2 CBA Inputs'!$A$8</f>
        <v>0</v>
      </c>
      <c r="H61" s="18">
        <f>IFERROR(IF(H$51&gt;='I2 CBA Inputs'!$H24,MAX('I2 CBA Inputs'!$E24-'I2 CBA Inputs'!$E24/'I2 CBA Inputs'!$I24*(H$51-'I2 CBA Inputs'!$H24+1),0),0)*IF(H$51=FirstYear+AnalysisPeriod-1,1,0),0)*'I2 CBA Inputs'!$A$8</f>
        <v>0</v>
      </c>
      <c r="I61" s="18">
        <f>IFERROR(IF(I$51&gt;='I2 CBA Inputs'!$H24,MAX('I2 CBA Inputs'!$E24-'I2 CBA Inputs'!$E24/'I2 CBA Inputs'!$I24*(I$51-'I2 CBA Inputs'!$H24+1),0),0)*IF(I$51=FirstYear+AnalysisPeriod-1,1,0),0)*'I2 CBA Inputs'!$A$8</f>
        <v>0</v>
      </c>
      <c r="J61" s="18">
        <f>IFERROR(IF(J$51&gt;='I2 CBA Inputs'!$H24,MAX('I2 CBA Inputs'!$E24-'I2 CBA Inputs'!$E24/'I2 CBA Inputs'!$I24*(J$51-'I2 CBA Inputs'!$H24+1),0),0)*IF(J$51=FirstYear+AnalysisPeriod-1,1,0),0)*'I2 CBA Inputs'!$A$8</f>
        <v>0</v>
      </c>
      <c r="K61" s="18">
        <f>IFERROR(IF(K$51&gt;='I2 CBA Inputs'!$H24,MAX('I2 CBA Inputs'!$E24-'I2 CBA Inputs'!$E24/'I2 CBA Inputs'!$I24*(K$51-'I2 CBA Inputs'!$H24+1),0),0)*IF(K$51=FirstYear+AnalysisPeriod-1,1,0),0)*'I2 CBA Inputs'!$A$8</f>
        <v>0</v>
      </c>
      <c r="L61" s="18">
        <f>IFERROR(IF(L$51&gt;='I2 CBA Inputs'!$H24,MAX('I2 CBA Inputs'!$E24-'I2 CBA Inputs'!$E24/'I2 CBA Inputs'!$I24*(L$51-'I2 CBA Inputs'!$H24+1),0),0)*IF(L$51=FirstYear+AnalysisPeriod-1,1,0),0)*'I2 CBA Inputs'!$A$8</f>
        <v>0</v>
      </c>
      <c r="M61" s="18">
        <f>IFERROR(IF(M$51&gt;='I2 CBA Inputs'!$H24,MAX('I2 CBA Inputs'!$E24-'I2 CBA Inputs'!$E24/'I2 CBA Inputs'!$I24*(M$51-'I2 CBA Inputs'!$H24+1),0),0)*IF(M$51=FirstYear+AnalysisPeriod-1,1,0),0)*'I2 CBA Inputs'!$A$8</f>
        <v>0</v>
      </c>
      <c r="N61" s="18">
        <f>IFERROR(IF(N$51&gt;='I2 CBA Inputs'!$H24,MAX('I2 CBA Inputs'!$E24-'I2 CBA Inputs'!$E24/'I2 CBA Inputs'!$I24*(N$51-'I2 CBA Inputs'!$H24+1),0),0)*IF(N$51=FirstYear+AnalysisPeriod-1,1,0),0)*'I2 CBA Inputs'!$A$8</f>
        <v>0</v>
      </c>
      <c r="O61" s="18">
        <f>IFERROR(IF(O$51&gt;='I2 CBA Inputs'!$H24,MAX('I2 CBA Inputs'!$E24-'I2 CBA Inputs'!$E24/'I2 CBA Inputs'!$I24*(O$51-'I2 CBA Inputs'!$H24+1),0),0)*IF(O$51=FirstYear+AnalysisPeriod-1,1,0),0)*'I2 CBA Inputs'!$A$8</f>
        <v>0</v>
      </c>
      <c r="P61" s="18">
        <f>IFERROR(IF(P$51&gt;='I2 CBA Inputs'!$H24,MAX('I2 CBA Inputs'!$E24-'I2 CBA Inputs'!$E24/'I2 CBA Inputs'!$I24*(P$51-'I2 CBA Inputs'!$H24+1),0),0)*IF(P$51=FirstYear+AnalysisPeriod-1,1,0),0)*'I2 CBA Inputs'!$A$8</f>
        <v>0</v>
      </c>
      <c r="Q61" s="18">
        <f>IFERROR(IF(Q$51&gt;='I2 CBA Inputs'!$H24,MAX('I2 CBA Inputs'!$E24-'I2 CBA Inputs'!$E24/'I2 CBA Inputs'!$I24*(Q$51-'I2 CBA Inputs'!$H24+1),0),0)*IF(Q$51=FirstYear+AnalysisPeriod-1,1,0),0)*'I2 CBA Inputs'!$A$8</f>
        <v>0</v>
      </c>
      <c r="R61" s="18">
        <f>IFERROR(IF(R$51&gt;='I2 CBA Inputs'!$H24,MAX('I2 CBA Inputs'!$E24-'I2 CBA Inputs'!$E24/'I2 CBA Inputs'!$I24*(R$51-'I2 CBA Inputs'!$H24+1),0),0)*IF(R$51=FirstYear+AnalysisPeriod-1,1,0),0)*'I2 CBA Inputs'!$A$8</f>
        <v>0</v>
      </c>
      <c r="S61" s="18">
        <f>IFERROR(IF(S$51&gt;='I2 CBA Inputs'!$H24,MAX('I2 CBA Inputs'!$E24-'I2 CBA Inputs'!$E24/'I2 CBA Inputs'!$I24*(S$51-'I2 CBA Inputs'!$H24+1),0),0)*IF(S$51=FirstYear+AnalysisPeriod-1,1,0),0)*'I2 CBA Inputs'!$A$8</f>
        <v>0</v>
      </c>
      <c r="T61" s="18">
        <f>IFERROR(IF(T$51&gt;='I2 CBA Inputs'!$H24,MAX('I2 CBA Inputs'!$E24-'I2 CBA Inputs'!$E24/'I2 CBA Inputs'!$I24*(T$51-'I2 CBA Inputs'!$H24+1),0),0)*IF(T$51=FirstYear+AnalysisPeriod-1,1,0),0)*'I2 CBA Inputs'!$A$8</f>
        <v>0</v>
      </c>
      <c r="U61" s="18">
        <f>IFERROR(IF(U$51&gt;='I2 CBA Inputs'!$H24,MAX('I2 CBA Inputs'!$E24-'I2 CBA Inputs'!$E24/'I2 CBA Inputs'!$I24*(U$51-'I2 CBA Inputs'!$H24+1),0),0)*IF(U$51=FirstYear+AnalysisPeriod-1,1,0),0)*'I2 CBA Inputs'!$A$8</f>
        <v>0</v>
      </c>
      <c r="V61" s="18">
        <f>IFERROR(IF(V$51&gt;='I2 CBA Inputs'!$H24,MAX('I2 CBA Inputs'!$E24-'I2 CBA Inputs'!$E24/'I2 CBA Inputs'!$I24*(V$51-'I2 CBA Inputs'!$H24+1),0),0)*IF(V$51=FirstYear+AnalysisPeriod-1,1,0),0)*'I2 CBA Inputs'!$A$8</f>
        <v>0</v>
      </c>
      <c r="W61" s="18">
        <f>IFERROR(IF(W$51&gt;='I2 CBA Inputs'!$H24,MAX('I2 CBA Inputs'!$E24-'I2 CBA Inputs'!$E24/'I2 CBA Inputs'!$I24*(W$51-'I2 CBA Inputs'!$H24+1),0),0)*IF(W$51=FirstYear+AnalysisPeriod-1,1,0),0)*'I2 CBA Inputs'!$A$8</f>
        <v>0</v>
      </c>
      <c r="X61" s="18">
        <f>IFERROR(IF(X$51&gt;='I2 CBA Inputs'!$H24,MAX('I2 CBA Inputs'!$E24-'I2 CBA Inputs'!$E24/'I2 CBA Inputs'!$I24*(X$51-'I2 CBA Inputs'!$H24+1),0),0)*IF(X$51=FirstYear+AnalysisPeriod-1,1,0),0)*'I2 CBA Inputs'!$A$8</f>
        <v>0</v>
      </c>
      <c r="Y61" s="18">
        <f>IFERROR(IF(Y$51&gt;='I2 CBA Inputs'!$H24,MAX('I2 CBA Inputs'!$E24-'I2 CBA Inputs'!$E24/'I2 CBA Inputs'!$I24*(Y$51-'I2 CBA Inputs'!$H24+1),0),0)*IF(Y$51=FirstYear+AnalysisPeriod-1,1,0),0)*'I2 CBA Inputs'!$A$8</f>
        <v>0</v>
      </c>
      <c r="Z61" s="18">
        <f>IFERROR(IF(Z$51&gt;='I2 CBA Inputs'!$H24,MAX('I2 CBA Inputs'!$E24-'I2 CBA Inputs'!$E24/'I2 CBA Inputs'!$I24*(Z$51-'I2 CBA Inputs'!$H24+1),0),0)*IF(Z$51=FirstYear+AnalysisPeriod-1,1,0),0)*'I2 CBA Inputs'!$A$8</f>
        <v>0</v>
      </c>
      <c r="AA61" s="18">
        <f>IFERROR(IF(AA$51&gt;='I2 CBA Inputs'!$H24,MAX('I2 CBA Inputs'!$E24-'I2 CBA Inputs'!$E24/'I2 CBA Inputs'!$I24*(AA$51-'I2 CBA Inputs'!$H24+1),0),0)*IF(AA$51=FirstYear+AnalysisPeriod-1,1,0),0)*'I2 CBA Inputs'!$A$8</f>
        <v>0</v>
      </c>
      <c r="AB61" s="18">
        <f>IFERROR(IF(AB$51&gt;='I2 CBA Inputs'!$H24,MAX('I2 CBA Inputs'!$E24-'I2 CBA Inputs'!$E24/'I2 CBA Inputs'!$I24*(AB$51-'I2 CBA Inputs'!$H24+1),0),0)*IF(AB$51=FirstYear+AnalysisPeriod-1,1,0),0)*'I2 CBA Inputs'!$A$8</f>
        <v>0</v>
      </c>
      <c r="AC61" s="18">
        <f>IFERROR(IF(AC$51&gt;='I2 CBA Inputs'!$H24,MAX('I2 CBA Inputs'!$E24-'I2 CBA Inputs'!$E24/'I2 CBA Inputs'!$I24*(AC$51-'I2 CBA Inputs'!$H24+1),0),0)*IF(AC$51=FirstYear+AnalysisPeriod-1,1,0),0)*'I2 CBA Inputs'!$A$8</f>
        <v>0</v>
      </c>
      <c r="AD61" s="18">
        <f>IFERROR(IF(AD$51&gt;='I2 CBA Inputs'!$H24,MAX('I2 CBA Inputs'!$E24-'I2 CBA Inputs'!$E24/'I2 CBA Inputs'!$I24*(AD$51-'I2 CBA Inputs'!$H24+1),0),0)*IF(AD$51=FirstYear+AnalysisPeriod-1,1,0),0)*'I2 CBA Inputs'!$A$8</f>
        <v>0</v>
      </c>
      <c r="AE61" s="18">
        <f>IFERROR(IF(AE$51&gt;='I2 CBA Inputs'!$H24,MAX('I2 CBA Inputs'!$E24-'I2 CBA Inputs'!$E24/'I2 CBA Inputs'!$I24*(AE$51-'I2 CBA Inputs'!$H24+1),0),0)*IF(AE$51=FirstYear+AnalysisPeriod-1,1,0),0)*'I2 CBA Inputs'!$A$8</f>
        <v>0</v>
      </c>
      <c r="AF61" s="18">
        <f>IFERROR(IF(AF$51&gt;='I2 CBA Inputs'!$H24,MAX('I2 CBA Inputs'!$E24-'I2 CBA Inputs'!$E24/'I2 CBA Inputs'!$I24*(AF$51-'I2 CBA Inputs'!$H24+1),0),0)*IF(AF$51=FirstYear+AnalysisPeriod-1,1,0),0)*'I2 CBA Inputs'!$A$8</f>
        <v>0</v>
      </c>
      <c r="AG61" s="18">
        <f>IFERROR(IF(AG$51&gt;='I2 CBA Inputs'!$H24,MAX('I2 CBA Inputs'!$E24-'I2 CBA Inputs'!$E24/'I2 CBA Inputs'!$I24*(AG$51-'I2 CBA Inputs'!$H24+1),0),0)*IF(AG$51=FirstYear+AnalysisPeriod-1,1,0),0)*'I2 CBA Inputs'!$A$8</f>
        <v>0</v>
      </c>
      <c r="AH61" s="18">
        <f>IFERROR(IF(AH$51&gt;='I2 CBA Inputs'!$H24,MAX('I2 CBA Inputs'!$E24-'I2 CBA Inputs'!$E24/'I2 CBA Inputs'!$I24*(AH$51-'I2 CBA Inputs'!$H24+1),0),0)*IF(AH$51=FirstYear+AnalysisPeriod-1,1,0),0)*'I2 CBA Inputs'!$A$8</f>
        <v>0</v>
      </c>
      <c r="AI61" s="18">
        <f>IFERROR(IF(AI$51&gt;='I2 CBA Inputs'!$H24,MAX('I2 CBA Inputs'!$E24-'I2 CBA Inputs'!$E24/'I2 CBA Inputs'!$I24*(AI$51-'I2 CBA Inputs'!$H24+1),0),0)*IF(AI$51=FirstYear+AnalysisPeriod-1,1,0),0)*'I2 CBA Inputs'!$A$8</f>
        <v>0</v>
      </c>
      <c r="AJ61" s="18">
        <f>IFERROR(IF(AJ$51&gt;='I2 CBA Inputs'!$H24,MAX('I2 CBA Inputs'!$E24-'I2 CBA Inputs'!$E24/'I2 CBA Inputs'!$I24*(AJ$51-'I2 CBA Inputs'!$H24+1),0),0)*IF(AJ$51=FirstYear+AnalysisPeriod-1,1,0),0)*'I2 CBA Inputs'!$A$8</f>
        <v>0</v>
      </c>
    </row>
    <row r="62" spans="1:36" x14ac:dyDescent="0.2">
      <c r="B62" s="9">
        <f t="shared" si="16"/>
        <v>6</v>
      </c>
      <c r="C62" s="28" t="str">
        <f t="shared" si="16"/>
        <v>Option 5B</v>
      </c>
      <c r="D62" s="28" t="str">
        <f t="shared" si="18"/>
        <v>Battery</v>
      </c>
      <c r="E62" s="13" t="s">
        <v>35</v>
      </c>
      <c r="F62" s="19">
        <f t="shared" si="19"/>
        <v>11450968.887617493</v>
      </c>
      <c r="G62" s="18">
        <f>IFERROR(IF(G$51&gt;='I2 CBA Inputs'!$H25,MAX('I2 CBA Inputs'!$E25-'I2 CBA Inputs'!$E25/'I2 CBA Inputs'!$I25*(G$51-'I2 CBA Inputs'!$H25+1),0),0)*IF(G$51=FirstYear+AnalysisPeriod-1,1,0),0)*'I2 CBA Inputs'!$A$8</f>
        <v>0</v>
      </c>
      <c r="H62" s="18">
        <f>IFERROR(IF(H$51&gt;='I2 CBA Inputs'!$H25,MAX('I2 CBA Inputs'!$E25-'I2 CBA Inputs'!$E25/'I2 CBA Inputs'!$I25*(H$51-'I2 CBA Inputs'!$H25+1),0),0)*IF(H$51=FirstYear+AnalysisPeriod-1,1,0),0)*'I2 CBA Inputs'!$A$8</f>
        <v>0</v>
      </c>
      <c r="I62" s="18">
        <f>IFERROR(IF(I$51&gt;='I2 CBA Inputs'!$H25,MAX('I2 CBA Inputs'!$E25-'I2 CBA Inputs'!$E25/'I2 CBA Inputs'!$I25*(I$51-'I2 CBA Inputs'!$H25+1),0),0)*IF(I$51=FirstYear+AnalysisPeriod-1,1,0),0)*'I2 CBA Inputs'!$A$8</f>
        <v>0</v>
      </c>
      <c r="J62" s="18">
        <f>IFERROR(IF(J$51&gt;='I2 CBA Inputs'!$H25,MAX('I2 CBA Inputs'!$E25-'I2 CBA Inputs'!$E25/'I2 CBA Inputs'!$I25*(J$51-'I2 CBA Inputs'!$H25+1),0),0)*IF(J$51=FirstYear+AnalysisPeriod-1,1,0),0)*'I2 CBA Inputs'!$A$8</f>
        <v>0</v>
      </c>
      <c r="K62" s="18">
        <f>IFERROR(IF(K$51&gt;='I2 CBA Inputs'!$H25,MAX('I2 CBA Inputs'!$E25-'I2 CBA Inputs'!$E25/'I2 CBA Inputs'!$I25*(K$51-'I2 CBA Inputs'!$H25+1),0),0)*IF(K$51=FirstYear+AnalysisPeriod-1,1,0),0)*'I2 CBA Inputs'!$A$8</f>
        <v>0</v>
      </c>
      <c r="L62" s="18">
        <f>IFERROR(IF(L$51&gt;='I2 CBA Inputs'!$H25,MAX('I2 CBA Inputs'!$E25-'I2 CBA Inputs'!$E25/'I2 CBA Inputs'!$I25*(L$51-'I2 CBA Inputs'!$H25+1),0),0)*IF(L$51=FirstYear+AnalysisPeriod-1,1,0),0)*'I2 CBA Inputs'!$A$8</f>
        <v>0</v>
      </c>
      <c r="M62" s="18">
        <f>IFERROR(IF(M$51&gt;='I2 CBA Inputs'!$H25,MAX('I2 CBA Inputs'!$E25-'I2 CBA Inputs'!$E25/'I2 CBA Inputs'!$I25*(M$51-'I2 CBA Inputs'!$H25+1),0),0)*IF(M$51=FirstYear+AnalysisPeriod-1,1,0),0)*'I2 CBA Inputs'!$A$8</f>
        <v>0</v>
      </c>
      <c r="N62" s="18">
        <f>IFERROR(IF(N$51&gt;='I2 CBA Inputs'!$H25,MAX('I2 CBA Inputs'!$E25-'I2 CBA Inputs'!$E25/'I2 CBA Inputs'!$I25*(N$51-'I2 CBA Inputs'!$H25+1),0),0)*IF(N$51=FirstYear+AnalysisPeriod-1,1,0),0)*'I2 CBA Inputs'!$A$8</f>
        <v>0</v>
      </c>
      <c r="O62" s="18">
        <f>IFERROR(IF(O$51&gt;='I2 CBA Inputs'!$H25,MAX('I2 CBA Inputs'!$E25-'I2 CBA Inputs'!$E25/'I2 CBA Inputs'!$I25*(O$51-'I2 CBA Inputs'!$H25+1),0),0)*IF(O$51=FirstYear+AnalysisPeriod-1,1,0),0)*'I2 CBA Inputs'!$A$8</f>
        <v>0</v>
      </c>
      <c r="P62" s="18">
        <f>IFERROR(IF(P$51&gt;='I2 CBA Inputs'!$H25,MAX('I2 CBA Inputs'!$E25-'I2 CBA Inputs'!$E25/'I2 CBA Inputs'!$I25*(P$51-'I2 CBA Inputs'!$H25+1),0),0)*IF(P$51=FirstYear+AnalysisPeriod-1,1,0),0)*'I2 CBA Inputs'!$A$8</f>
        <v>0</v>
      </c>
      <c r="Q62" s="18">
        <f>IFERROR(IF(Q$51&gt;='I2 CBA Inputs'!$H25,MAX('I2 CBA Inputs'!$E25-'I2 CBA Inputs'!$E25/'I2 CBA Inputs'!$I25*(Q$51-'I2 CBA Inputs'!$H25+1),0),0)*IF(Q$51=FirstYear+AnalysisPeriod-1,1,0),0)*'I2 CBA Inputs'!$A$8</f>
        <v>0</v>
      </c>
      <c r="R62" s="18">
        <f>IFERROR(IF(R$51&gt;='I2 CBA Inputs'!$H25,MAX('I2 CBA Inputs'!$E25-'I2 CBA Inputs'!$E25/'I2 CBA Inputs'!$I25*(R$51-'I2 CBA Inputs'!$H25+1),0),0)*IF(R$51=FirstYear+AnalysisPeriod-1,1,0),0)*'I2 CBA Inputs'!$A$8</f>
        <v>0</v>
      </c>
      <c r="S62" s="18">
        <f>IFERROR(IF(S$51&gt;='I2 CBA Inputs'!$H25,MAX('I2 CBA Inputs'!$E25-'I2 CBA Inputs'!$E25/'I2 CBA Inputs'!$I25*(S$51-'I2 CBA Inputs'!$H25+1),0),0)*IF(S$51=FirstYear+AnalysisPeriod-1,1,0),0)*'I2 CBA Inputs'!$A$8</f>
        <v>0</v>
      </c>
      <c r="T62" s="18">
        <f>IFERROR(IF(T$51&gt;='I2 CBA Inputs'!$H25,MAX('I2 CBA Inputs'!$E25-'I2 CBA Inputs'!$E25/'I2 CBA Inputs'!$I25*(T$51-'I2 CBA Inputs'!$H25+1),0),0)*IF(T$51=FirstYear+AnalysisPeriod-1,1,0),0)*'I2 CBA Inputs'!$A$8</f>
        <v>0</v>
      </c>
      <c r="U62" s="18">
        <f>IFERROR(IF(U$51&gt;='I2 CBA Inputs'!$H25,MAX('I2 CBA Inputs'!$E25-'I2 CBA Inputs'!$E25/'I2 CBA Inputs'!$I25*(U$51-'I2 CBA Inputs'!$H25+1),0),0)*IF(U$51=FirstYear+AnalysisPeriod-1,1,0),0)*'I2 CBA Inputs'!$A$8</f>
        <v>0</v>
      </c>
      <c r="V62" s="18">
        <f>IFERROR(IF(V$51&gt;='I2 CBA Inputs'!$H25,MAX('I2 CBA Inputs'!$E25-'I2 CBA Inputs'!$E25/'I2 CBA Inputs'!$I25*(V$51-'I2 CBA Inputs'!$H25+1),0),0)*IF(V$51=FirstYear+AnalysisPeriod-1,1,0),0)*'I2 CBA Inputs'!$A$8</f>
        <v>0</v>
      </c>
      <c r="W62" s="18">
        <f>IFERROR(IF(W$51&gt;='I2 CBA Inputs'!$H25,MAX('I2 CBA Inputs'!$E25-'I2 CBA Inputs'!$E25/'I2 CBA Inputs'!$I25*(W$51-'I2 CBA Inputs'!$H25+1),0),0)*IF(W$51=FirstYear+AnalysisPeriod-1,1,0),0)*'I2 CBA Inputs'!$A$8</f>
        <v>0</v>
      </c>
      <c r="X62" s="18">
        <f>IFERROR(IF(X$51&gt;='I2 CBA Inputs'!$H25,MAX('I2 CBA Inputs'!$E25-'I2 CBA Inputs'!$E25/'I2 CBA Inputs'!$I25*(X$51-'I2 CBA Inputs'!$H25+1),0),0)*IF(X$51=FirstYear+AnalysisPeriod-1,1,0),0)*'I2 CBA Inputs'!$A$8</f>
        <v>0</v>
      </c>
      <c r="Y62" s="18">
        <f>IFERROR(IF(Y$51&gt;='I2 CBA Inputs'!$H25,MAX('I2 CBA Inputs'!$E25-'I2 CBA Inputs'!$E25/'I2 CBA Inputs'!$I25*(Y$51-'I2 CBA Inputs'!$H25+1),0),0)*IF(Y$51=FirstYear+AnalysisPeriod-1,1,0),0)*'I2 CBA Inputs'!$A$8</f>
        <v>0</v>
      </c>
      <c r="Z62" s="18">
        <f>IFERROR(IF(Z$51&gt;='I2 CBA Inputs'!$H25,MAX('I2 CBA Inputs'!$E25-'I2 CBA Inputs'!$E25/'I2 CBA Inputs'!$I25*(Z$51-'I2 CBA Inputs'!$H25+1),0),0)*IF(Z$51=FirstYear+AnalysisPeriod-1,1,0),0)*'I2 CBA Inputs'!$A$8</f>
        <v>0</v>
      </c>
      <c r="AA62" s="18">
        <f>IFERROR(IF(AA$51&gt;='I2 CBA Inputs'!$H25,MAX('I2 CBA Inputs'!$E25-'I2 CBA Inputs'!$E25/'I2 CBA Inputs'!$I25*(AA$51-'I2 CBA Inputs'!$H25+1),0),0)*IF(AA$51=FirstYear+AnalysisPeriod-1,1,0),0)*'I2 CBA Inputs'!$A$8</f>
        <v>0</v>
      </c>
      <c r="AB62" s="18">
        <f>IFERROR(IF(AB$51&gt;='I2 CBA Inputs'!$H25,MAX('I2 CBA Inputs'!$E25-'I2 CBA Inputs'!$E25/'I2 CBA Inputs'!$I25*(AB$51-'I2 CBA Inputs'!$H25+1),0),0)*IF(AB$51=FirstYear+AnalysisPeriod-1,1,0),0)*'I2 CBA Inputs'!$A$8</f>
        <v>0</v>
      </c>
      <c r="AC62" s="18">
        <f>IFERROR(IF(AC$51&gt;='I2 CBA Inputs'!$H25,MAX('I2 CBA Inputs'!$E25-'I2 CBA Inputs'!$E25/'I2 CBA Inputs'!$I25*(AC$51-'I2 CBA Inputs'!$H25+1),0),0)*IF(AC$51=FirstYear+AnalysisPeriod-1,1,0),0)*'I2 CBA Inputs'!$A$8</f>
        <v>0</v>
      </c>
      <c r="AD62" s="18">
        <f>IFERROR(IF(AD$51&gt;='I2 CBA Inputs'!$H25,MAX('I2 CBA Inputs'!$E25-'I2 CBA Inputs'!$E25/'I2 CBA Inputs'!$I25*(AD$51-'I2 CBA Inputs'!$H25+1),0),0)*IF(AD$51=FirstYear+AnalysisPeriod-1,1,0),0)*'I2 CBA Inputs'!$A$8</f>
        <v>0</v>
      </c>
      <c r="AE62" s="18">
        <f>IFERROR(IF(AE$51&gt;='I2 CBA Inputs'!$H25,MAX('I2 CBA Inputs'!$E25-'I2 CBA Inputs'!$E25/'I2 CBA Inputs'!$I25*(AE$51-'I2 CBA Inputs'!$H25+1),0),0)*IF(AE$51=FirstYear+AnalysisPeriod-1,1,0),0)*'I2 CBA Inputs'!$A$8</f>
        <v>0</v>
      </c>
      <c r="AF62" s="18">
        <f>IFERROR(IF(AF$51&gt;='I2 CBA Inputs'!$H25,MAX('I2 CBA Inputs'!$E25-'I2 CBA Inputs'!$E25/'I2 CBA Inputs'!$I25*(AF$51-'I2 CBA Inputs'!$H25+1),0),0)*IF(AF$51=FirstYear+AnalysisPeriod-1,1,0),0)*'I2 CBA Inputs'!$A$8</f>
        <v>48000000</v>
      </c>
      <c r="AG62" s="18">
        <f>IFERROR(IF(AG$51&gt;='I2 CBA Inputs'!$H25,MAX('I2 CBA Inputs'!$E25-'I2 CBA Inputs'!$E25/'I2 CBA Inputs'!$I25*(AG$51-'I2 CBA Inputs'!$H25+1),0),0)*IF(AG$51=FirstYear+AnalysisPeriod-1,1,0),0)*'I2 CBA Inputs'!$A$8</f>
        <v>0</v>
      </c>
      <c r="AH62" s="18">
        <f>IFERROR(IF(AH$51&gt;='I2 CBA Inputs'!$H25,MAX('I2 CBA Inputs'!$E25-'I2 CBA Inputs'!$E25/'I2 CBA Inputs'!$I25*(AH$51-'I2 CBA Inputs'!$H25+1),0),0)*IF(AH$51=FirstYear+AnalysisPeriod-1,1,0),0)*'I2 CBA Inputs'!$A$8</f>
        <v>0</v>
      </c>
      <c r="AI62" s="18">
        <f>IFERROR(IF(AI$51&gt;='I2 CBA Inputs'!$H25,MAX('I2 CBA Inputs'!$E25-'I2 CBA Inputs'!$E25/'I2 CBA Inputs'!$I25*(AI$51-'I2 CBA Inputs'!$H25+1),0),0)*IF(AI$51=FirstYear+AnalysisPeriod-1,1,0),0)*'I2 CBA Inputs'!$A$8</f>
        <v>0</v>
      </c>
      <c r="AJ62" s="18">
        <f>IFERROR(IF(AJ$51&gt;='I2 CBA Inputs'!$H25,MAX('I2 CBA Inputs'!$E25-'I2 CBA Inputs'!$E25/'I2 CBA Inputs'!$I25*(AJ$51-'I2 CBA Inputs'!$H25+1),0),0)*IF(AJ$51=FirstYear+AnalysisPeriod-1,1,0),0)*'I2 CBA Inputs'!$A$8</f>
        <v>0</v>
      </c>
    </row>
    <row r="63" spans="1:36" x14ac:dyDescent="0.2">
      <c r="B63" s="9">
        <f t="shared" si="16"/>
        <v>6</v>
      </c>
      <c r="C63" s="28" t="str">
        <f t="shared" si="16"/>
        <v>Option 5B</v>
      </c>
      <c r="D63" s="28" t="str">
        <f t="shared" si="18"/>
        <v>Connection assets</v>
      </c>
      <c r="E63" s="13" t="s">
        <v>35</v>
      </c>
      <c r="F63" s="19">
        <f t="shared" si="19"/>
        <v>5086138.6809167694</v>
      </c>
      <c r="G63" s="18">
        <f>IFERROR(IF(G$51&gt;='I2 CBA Inputs'!$H26,MAX('I2 CBA Inputs'!$E26-'I2 CBA Inputs'!$E26/'I2 CBA Inputs'!$I26*(G$51-'I2 CBA Inputs'!$H26+1),0),0)*IF(G$51=FirstYear+AnalysisPeriod-1,1,0),0)*'I2 CBA Inputs'!$A$8</f>
        <v>0</v>
      </c>
      <c r="H63" s="18">
        <f>IFERROR(IF(H$51&gt;='I2 CBA Inputs'!$H26,MAX('I2 CBA Inputs'!$E26-'I2 CBA Inputs'!$E26/'I2 CBA Inputs'!$I26*(H$51-'I2 CBA Inputs'!$H26+1),0),0)*IF(H$51=FirstYear+AnalysisPeriod-1,1,0),0)*'I2 CBA Inputs'!$A$8</f>
        <v>0</v>
      </c>
      <c r="I63" s="18">
        <f>IFERROR(IF(I$51&gt;='I2 CBA Inputs'!$H26,MAX('I2 CBA Inputs'!$E26-'I2 CBA Inputs'!$E26/'I2 CBA Inputs'!$I26*(I$51-'I2 CBA Inputs'!$H26+1),0),0)*IF(I$51=FirstYear+AnalysisPeriod-1,1,0),0)*'I2 CBA Inputs'!$A$8</f>
        <v>0</v>
      </c>
      <c r="J63" s="18">
        <f>IFERROR(IF(J$51&gt;='I2 CBA Inputs'!$H26,MAX('I2 CBA Inputs'!$E26-'I2 CBA Inputs'!$E26/'I2 CBA Inputs'!$I26*(J$51-'I2 CBA Inputs'!$H26+1),0),0)*IF(J$51=FirstYear+AnalysisPeriod-1,1,0),0)*'I2 CBA Inputs'!$A$8</f>
        <v>0</v>
      </c>
      <c r="K63" s="18">
        <f>IFERROR(IF(K$51&gt;='I2 CBA Inputs'!$H26,MAX('I2 CBA Inputs'!$E26-'I2 CBA Inputs'!$E26/'I2 CBA Inputs'!$I26*(K$51-'I2 CBA Inputs'!$H26+1),0),0)*IF(K$51=FirstYear+AnalysisPeriod-1,1,0),0)*'I2 CBA Inputs'!$A$8</f>
        <v>0</v>
      </c>
      <c r="L63" s="18">
        <f>IFERROR(IF(L$51&gt;='I2 CBA Inputs'!$H26,MAX('I2 CBA Inputs'!$E26-'I2 CBA Inputs'!$E26/'I2 CBA Inputs'!$I26*(L$51-'I2 CBA Inputs'!$H26+1),0),0)*IF(L$51=FirstYear+AnalysisPeriod-1,1,0),0)*'I2 CBA Inputs'!$A$8</f>
        <v>0</v>
      </c>
      <c r="M63" s="18">
        <f>IFERROR(IF(M$51&gt;='I2 CBA Inputs'!$H26,MAX('I2 CBA Inputs'!$E26-'I2 CBA Inputs'!$E26/'I2 CBA Inputs'!$I26*(M$51-'I2 CBA Inputs'!$H26+1),0),0)*IF(M$51=FirstYear+AnalysisPeriod-1,1,0),0)*'I2 CBA Inputs'!$A$8</f>
        <v>0</v>
      </c>
      <c r="N63" s="18">
        <f>IFERROR(IF(N$51&gt;='I2 CBA Inputs'!$H26,MAX('I2 CBA Inputs'!$E26-'I2 CBA Inputs'!$E26/'I2 CBA Inputs'!$I26*(N$51-'I2 CBA Inputs'!$H26+1),0),0)*IF(N$51=FirstYear+AnalysisPeriod-1,1,0),0)*'I2 CBA Inputs'!$A$8</f>
        <v>0</v>
      </c>
      <c r="O63" s="18">
        <f>IFERROR(IF(O$51&gt;='I2 CBA Inputs'!$H26,MAX('I2 CBA Inputs'!$E26-'I2 CBA Inputs'!$E26/'I2 CBA Inputs'!$I26*(O$51-'I2 CBA Inputs'!$H26+1),0),0)*IF(O$51=FirstYear+AnalysisPeriod-1,1,0),0)*'I2 CBA Inputs'!$A$8</f>
        <v>0</v>
      </c>
      <c r="P63" s="18">
        <f>IFERROR(IF(P$51&gt;='I2 CBA Inputs'!$H26,MAX('I2 CBA Inputs'!$E26-'I2 CBA Inputs'!$E26/'I2 CBA Inputs'!$I26*(P$51-'I2 CBA Inputs'!$H26+1),0),0)*IF(P$51=FirstYear+AnalysisPeriod-1,1,0),0)*'I2 CBA Inputs'!$A$8</f>
        <v>0</v>
      </c>
      <c r="Q63" s="18">
        <f>IFERROR(IF(Q$51&gt;='I2 CBA Inputs'!$H26,MAX('I2 CBA Inputs'!$E26-'I2 CBA Inputs'!$E26/'I2 CBA Inputs'!$I26*(Q$51-'I2 CBA Inputs'!$H26+1),0),0)*IF(Q$51=FirstYear+AnalysisPeriod-1,1,0),0)*'I2 CBA Inputs'!$A$8</f>
        <v>0</v>
      </c>
      <c r="R63" s="18">
        <f>IFERROR(IF(R$51&gt;='I2 CBA Inputs'!$H26,MAX('I2 CBA Inputs'!$E26-'I2 CBA Inputs'!$E26/'I2 CBA Inputs'!$I26*(R$51-'I2 CBA Inputs'!$H26+1),0),0)*IF(R$51=FirstYear+AnalysisPeriod-1,1,0),0)*'I2 CBA Inputs'!$A$8</f>
        <v>0</v>
      </c>
      <c r="S63" s="18">
        <f>IFERROR(IF(S$51&gt;='I2 CBA Inputs'!$H26,MAX('I2 CBA Inputs'!$E26-'I2 CBA Inputs'!$E26/'I2 CBA Inputs'!$I26*(S$51-'I2 CBA Inputs'!$H26+1),0),0)*IF(S$51=FirstYear+AnalysisPeriod-1,1,0),0)*'I2 CBA Inputs'!$A$8</f>
        <v>0</v>
      </c>
      <c r="T63" s="18">
        <f>IFERROR(IF(T$51&gt;='I2 CBA Inputs'!$H26,MAX('I2 CBA Inputs'!$E26-'I2 CBA Inputs'!$E26/'I2 CBA Inputs'!$I26*(T$51-'I2 CBA Inputs'!$H26+1),0),0)*IF(T$51=FirstYear+AnalysisPeriod-1,1,0),0)*'I2 CBA Inputs'!$A$8</f>
        <v>0</v>
      </c>
      <c r="U63" s="18">
        <f>IFERROR(IF(U$51&gt;='I2 CBA Inputs'!$H26,MAX('I2 CBA Inputs'!$E26-'I2 CBA Inputs'!$E26/'I2 CBA Inputs'!$I26*(U$51-'I2 CBA Inputs'!$H26+1),0),0)*IF(U$51=FirstYear+AnalysisPeriod-1,1,0),0)*'I2 CBA Inputs'!$A$8</f>
        <v>0</v>
      </c>
      <c r="V63" s="18">
        <f>IFERROR(IF(V$51&gt;='I2 CBA Inputs'!$H26,MAX('I2 CBA Inputs'!$E26-'I2 CBA Inputs'!$E26/'I2 CBA Inputs'!$I26*(V$51-'I2 CBA Inputs'!$H26+1),0),0)*IF(V$51=FirstYear+AnalysisPeriod-1,1,0),0)*'I2 CBA Inputs'!$A$8</f>
        <v>0</v>
      </c>
      <c r="W63" s="18">
        <f>IFERROR(IF(W$51&gt;='I2 CBA Inputs'!$H26,MAX('I2 CBA Inputs'!$E26-'I2 CBA Inputs'!$E26/'I2 CBA Inputs'!$I26*(W$51-'I2 CBA Inputs'!$H26+1),0),0)*IF(W$51=FirstYear+AnalysisPeriod-1,1,0),0)*'I2 CBA Inputs'!$A$8</f>
        <v>0</v>
      </c>
      <c r="X63" s="18">
        <f>IFERROR(IF(X$51&gt;='I2 CBA Inputs'!$H26,MAX('I2 CBA Inputs'!$E26-'I2 CBA Inputs'!$E26/'I2 CBA Inputs'!$I26*(X$51-'I2 CBA Inputs'!$H26+1),0),0)*IF(X$51=FirstYear+AnalysisPeriod-1,1,0),0)*'I2 CBA Inputs'!$A$8</f>
        <v>0</v>
      </c>
      <c r="Y63" s="18">
        <f>IFERROR(IF(Y$51&gt;='I2 CBA Inputs'!$H26,MAX('I2 CBA Inputs'!$E26-'I2 CBA Inputs'!$E26/'I2 CBA Inputs'!$I26*(Y$51-'I2 CBA Inputs'!$H26+1),0),0)*IF(Y$51=FirstYear+AnalysisPeriod-1,1,0),0)*'I2 CBA Inputs'!$A$8</f>
        <v>0</v>
      </c>
      <c r="Z63" s="18">
        <f>IFERROR(IF(Z$51&gt;='I2 CBA Inputs'!$H26,MAX('I2 CBA Inputs'!$E26-'I2 CBA Inputs'!$E26/'I2 CBA Inputs'!$I26*(Z$51-'I2 CBA Inputs'!$H26+1),0),0)*IF(Z$51=FirstYear+AnalysisPeriod-1,1,0),0)*'I2 CBA Inputs'!$A$8</f>
        <v>0</v>
      </c>
      <c r="AA63" s="18">
        <f>IFERROR(IF(AA$51&gt;='I2 CBA Inputs'!$H26,MAX('I2 CBA Inputs'!$E26-'I2 CBA Inputs'!$E26/'I2 CBA Inputs'!$I26*(AA$51-'I2 CBA Inputs'!$H26+1),0),0)*IF(AA$51=FirstYear+AnalysisPeriod-1,1,0),0)*'I2 CBA Inputs'!$A$8</f>
        <v>0</v>
      </c>
      <c r="AB63" s="18">
        <f>IFERROR(IF(AB$51&gt;='I2 CBA Inputs'!$H26,MAX('I2 CBA Inputs'!$E26-'I2 CBA Inputs'!$E26/'I2 CBA Inputs'!$I26*(AB$51-'I2 CBA Inputs'!$H26+1),0),0)*IF(AB$51=FirstYear+AnalysisPeriod-1,1,0),0)*'I2 CBA Inputs'!$A$8</f>
        <v>0</v>
      </c>
      <c r="AC63" s="18">
        <f>IFERROR(IF(AC$51&gt;='I2 CBA Inputs'!$H26,MAX('I2 CBA Inputs'!$E26-'I2 CBA Inputs'!$E26/'I2 CBA Inputs'!$I26*(AC$51-'I2 CBA Inputs'!$H26+1),0),0)*IF(AC$51=FirstYear+AnalysisPeriod-1,1,0),0)*'I2 CBA Inputs'!$A$8</f>
        <v>0</v>
      </c>
      <c r="AD63" s="18">
        <f>IFERROR(IF(AD$51&gt;='I2 CBA Inputs'!$H26,MAX('I2 CBA Inputs'!$E26-'I2 CBA Inputs'!$E26/'I2 CBA Inputs'!$I26*(AD$51-'I2 CBA Inputs'!$H26+1),0),0)*IF(AD$51=FirstYear+AnalysisPeriod-1,1,0),0)*'I2 CBA Inputs'!$A$8</f>
        <v>0</v>
      </c>
      <c r="AE63" s="18">
        <f>IFERROR(IF(AE$51&gt;='I2 CBA Inputs'!$H26,MAX('I2 CBA Inputs'!$E26-'I2 CBA Inputs'!$E26/'I2 CBA Inputs'!$I26*(AE$51-'I2 CBA Inputs'!$H26+1),0),0)*IF(AE$51=FirstYear+AnalysisPeriod-1,1,0),0)*'I2 CBA Inputs'!$A$8</f>
        <v>0</v>
      </c>
      <c r="AF63" s="18">
        <f>IFERROR(IF(AF$51&gt;='I2 CBA Inputs'!$H26,MAX('I2 CBA Inputs'!$E26-'I2 CBA Inputs'!$E26/'I2 CBA Inputs'!$I26*(AF$51-'I2 CBA Inputs'!$H26+1),0),0)*IF(AF$51=FirstYear+AnalysisPeriod-1,1,0),0)*'I2 CBA Inputs'!$A$8</f>
        <v>21320000</v>
      </c>
      <c r="AG63" s="18">
        <f>IFERROR(IF(AG$51&gt;='I2 CBA Inputs'!$H26,MAX('I2 CBA Inputs'!$E26-'I2 CBA Inputs'!$E26/'I2 CBA Inputs'!$I26*(AG$51-'I2 CBA Inputs'!$H26+1),0),0)*IF(AG$51=FirstYear+AnalysisPeriod-1,1,0),0)*'I2 CBA Inputs'!$A$8</f>
        <v>0</v>
      </c>
      <c r="AH63" s="18">
        <f>IFERROR(IF(AH$51&gt;='I2 CBA Inputs'!$H26,MAX('I2 CBA Inputs'!$E26-'I2 CBA Inputs'!$E26/'I2 CBA Inputs'!$I26*(AH$51-'I2 CBA Inputs'!$H26+1),0),0)*IF(AH$51=FirstYear+AnalysisPeriod-1,1,0),0)*'I2 CBA Inputs'!$A$8</f>
        <v>0</v>
      </c>
      <c r="AI63" s="18">
        <f>IFERROR(IF(AI$51&gt;='I2 CBA Inputs'!$H26,MAX('I2 CBA Inputs'!$E26-'I2 CBA Inputs'!$E26/'I2 CBA Inputs'!$I26*(AI$51-'I2 CBA Inputs'!$H26+1),0),0)*IF(AI$51=FirstYear+AnalysisPeriod-1,1,0),0)*'I2 CBA Inputs'!$A$8</f>
        <v>0</v>
      </c>
      <c r="AJ63" s="18">
        <f>IFERROR(IF(AJ$51&gt;='I2 CBA Inputs'!$H26,MAX('I2 CBA Inputs'!$E26-'I2 CBA Inputs'!$E26/'I2 CBA Inputs'!$I26*(AJ$51-'I2 CBA Inputs'!$H26+1),0),0)*IF(AJ$51=FirstYear+AnalysisPeriod-1,1,0),0)*'I2 CBA Inputs'!$A$8</f>
        <v>0</v>
      </c>
    </row>
    <row r="65" spans="2:36" ht="15.75" x14ac:dyDescent="0.25">
      <c r="B65" s="5" t="s">
        <v>17</v>
      </c>
      <c r="C65" s="30"/>
      <c r="D65" s="30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</row>
    <row r="66" spans="2:36" ht="15.75" x14ac:dyDescent="0.25">
      <c r="B66" s="7" t="s">
        <v>14</v>
      </c>
      <c r="C66" s="11" t="s">
        <v>13</v>
      </c>
      <c r="D66" s="11"/>
      <c r="E66" s="8" t="str">
        <f t="shared" ref="E66:AJ66" si="20">E$7</f>
        <v>Units</v>
      </c>
      <c r="F66" s="8" t="s">
        <v>37</v>
      </c>
      <c r="G66" s="7">
        <f t="shared" si="20"/>
        <v>2020</v>
      </c>
      <c r="H66" s="7">
        <f t="shared" si="20"/>
        <v>2021</v>
      </c>
      <c r="I66" s="7">
        <f t="shared" si="20"/>
        <v>2022</v>
      </c>
      <c r="J66" s="7">
        <f t="shared" si="20"/>
        <v>2023</v>
      </c>
      <c r="K66" s="7">
        <f t="shared" si="20"/>
        <v>2024</v>
      </c>
      <c r="L66" s="7">
        <f t="shared" si="20"/>
        <v>2025</v>
      </c>
      <c r="M66" s="7">
        <f t="shared" si="20"/>
        <v>2026</v>
      </c>
      <c r="N66" s="7">
        <f t="shared" si="20"/>
        <v>2027</v>
      </c>
      <c r="O66" s="7">
        <f t="shared" si="20"/>
        <v>2028</v>
      </c>
      <c r="P66" s="7">
        <f t="shared" si="20"/>
        <v>2029</v>
      </c>
      <c r="Q66" s="7">
        <f t="shared" si="20"/>
        <v>2030</v>
      </c>
      <c r="R66" s="7">
        <f t="shared" si="20"/>
        <v>2031</v>
      </c>
      <c r="S66" s="7">
        <f t="shared" si="20"/>
        <v>2032</v>
      </c>
      <c r="T66" s="7">
        <f t="shared" si="20"/>
        <v>2033</v>
      </c>
      <c r="U66" s="7">
        <f t="shared" si="20"/>
        <v>2034</v>
      </c>
      <c r="V66" s="7">
        <f t="shared" si="20"/>
        <v>2035</v>
      </c>
      <c r="W66" s="7">
        <f t="shared" si="20"/>
        <v>2036</v>
      </c>
      <c r="X66" s="7">
        <f t="shared" si="20"/>
        <v>2037</v>
      </c>
      <c r="Y66" s="7">
        <f t="shared" si="20"/>
        <v>2038</v>
      </c>
      <c r="Z66" s="7">
        <f t="shared" si="20"/>
        <v>2039</v>
      </c>
      <c r="AA66" s="7">
        <f t="shared" si="20"/>
        <v>2040</v>
      </c>
      <c r="AB66" s="7">
        <f t="shared" si="20"/>
        <v>2041</v>
      </c>
      <c r="AC66" s="7">
        <f t="shared" si="20"/>
        <v>2042</v>
      </c>
      <c r="AD66" s="7">
        <f t="shared" si="20"/>
        <v>2043</v>
      </c>
      <c r="AE66" s="7">
        <f t="shared" si="20"/>
        <v>2044</v>
      </c>
      <c r="AF66" s="7">
        <f t="shared" si="20"/>
        <v>2045</v>
      </c>
      <c r="AG66" s="7">
        <f t="shared" si="20"/>
        <v>0</v>
      </c>
      <c r="AH66" s="7">
        <f t="shared" si="20"/>
        <v>0</v>
      </c>
      <c r="AI66" s="7">
        <f t="shared" si="20"/>
        <v>0</v>
      </c>
      <c r="AJ66" s="7">
        <f t="shared" si="20"/>
        <v>0</v>
      </c>
    </row>
    <row r="67" spans="2:36" x14ac:dyDescent="0.2">
      <c r="B67" s="9">
        <f>+'I1 General Inputs'!$B$15</f>
        <v>1</v>
      </c>
      <c r="C67" s="15" t="str">
        <f>+'I1 General Inputs'!$C$15</f>
        <v>Option 1A</v>
      </c>
      <c r="D67" s="28"/>
      <c r="E67" s="13" t="s">
        <v>35</v>
      </c>
      <c r="F67" s="19">
        <f t="shared" ref="F67:F72" si="21">NPV(DiscountRate,G67:AJ67)/(1+DiscountRate)^(FirstYear-BaseYear-2)</f>
        <v>-138464937.18402365</v>
      </c>
      <c r="G67" s="18">
        <f>SUMIF($C$35:$C$63,$C67,G$35:G$63)-SUMIF($C$35:$C$63,'I1 General Inputs'!$C$14,G$35:G$63)*'I1 General Inputs'!$A15</f>
        <v>0</v>
      </c>
      <c r="H67" s="18">
        <f>SUMIF($C$35:$C$63,$C67,H$35:H$63)-SUMIF($C$35:$C$63,'I1 General Inputs'!$C$14,H$35:H$63)*'I1 General Inputs'!$A15</f>
        <v>0</v>
      </c>
      <c r="I67" s="18">
        <f>SUMIF($C$35:$C$63,$C67,I$35:I$63)-SUMIF($C$35:$C$63,'I1 General Inputs'!$C$14,I$35:I$63)*'I1 General Inputs'!$A15</f>
        <v>-175100000</v>
      </c>
      <c r="J67" s="18">
        <f>SUMIF($C$35:$C$63,$C67,J$35:J$63)-SUMIF($C$35:$C$63,'I1 General Inputs'!$C$14,J$35:J$63)*'I1 General Inputs'!$A15</f>
        <v>0</v>
      </c>
      <c r="K67" s="18">
        <f>SUMIF($C$35:$C$63,$C67,K$35:K$63)-SUMIF($C$35:$C$63,'I1 General Inputs'!$C$14,K$35:K$63)*'I1 General Inputs'!$A15</f>
        <v>0</v>
      </c>
      <c r="L67" s="18">
        <f>SUMIF($C$35:$C$63,$C67,L$35:L$63)-SUMIF($C$35:$C$63,'I1 General Inputs'!$C$14,L$35:L$63)*'I1 General Inputs'!$A15</f>
        <v>0</v>
      </c>
      <c r="M67" s="18">
        <f>SUMIF($C$35:$C$63,$C67,M$35:M$63)-SUMIF($C$35:$C$63,'I1 General Inputs'!$C$14,M$35:M$63)*'I1 General Inputs'!$A15</f>
        <v>0</v>
      </c>
      <c r="N67" s="18">
        <f>SUMIF($C$35:$C$63,$C67,N$35:N$63)-SUMIF($C$35:$C$63,'I1 General Inputs'!$C$14,N$35:N$63)*'I1 General Inputs'!$A15</f>
        <v>0</v>
      </c>
      <c r="O67" s="18">
        <f>SUMIF($C$35:$C$63,$C67,O$35:O$63)-SUMIF($C$35:$C$63,'I1 General Inputs'!$C$14,O$35:O$63)*'I1 General Inputs'!$A15</f>
        <v>0</v>
      </c>
      <c r="P67" s="18">
        <f>SUMIF($C$35:$C$63,$C67,P$35:P$63)-SUMIF($C$35:$C$63,'I1 General Inputs'!$C$14,P$35:P$63)*'I1 General Inputs'!$A15</f>
        <v>0</v>
      </c>
      <c r="Q67" s="18">
        <f>SUMIF($C$35:$C$63,$C67,Q$35:Q$63)-SUMIF($C$35:$C$63,'I1 General Inputs'!$C$14,Q$35:Q$63)*'I1 General Inputs'!$A15</f>
        <v>0</v>
      </c>
      <c r="R67" s="18">
        <f>SUMIF($C$35:$C$63,$C67,R$35:R$63)-SUMIF($C$35:$C$63,'I1 General Inputs'!$C$14,R$35:R$63)*'I1 General Inputs'!$A15</f>
        <v>0</v>
      </c>
      <c r="S67" s="18">
        <f>SUMIF($C$35:$C$63,$C67,S$35:S$63)-SUMIF($C$35:$C$63,'I1 General Inputs'!$C$14,S$35:S$63)*'I1 General Inputs'!$A15</f>
        <v>0</v>
      </c>
      <c r="T67" s="18">
        <f>SUMIF($C$35:$C$63,$C67,T$35:T$63)-SUMIF($C$35:$C$63,'I1 General Inputs'!$C$14,T$35:T$63)*'I1 General Inputs'!$A15</f>
        <v>0</v>
      </c>
      <c r="U67" s="18">
        <f>SUMIF($C$35:$C$63,$C67,U$35:U$63)-SUMIF($C$35:$C$63,'I1 General Inputs'!$C$14,U$35:U$63)*'I1 General Inputs'!$A15</f>
        <v>0</v>
      </c>
      <c r="V67" s="18">
        <f>SUMIF($C$35:$C$63,$C67,V$35:V$63)-SUMIF($C$35:$C$63,'I1 General Inputs'!$C$14,V$35:V$63)*'I1 General Inputs'!$A15</f>
        <v>0</v>
      </c>
      <c r="W67" s="18">
        <f>SUMIF($C$35:$C$63,$C67,W$35:W$63)-SUMIF($C$35:$C$63,'I1 General Inputs'!$C$14,W$35:W$63)*'I1 General Inputs'!$A15</f>
        <v>0</v>
      </c>
      <c r="X67" s="18">
        <f>SUMIF($C$35:$C$63,$C67,X$35:X$63)-SUMIF($C$35:$C$63,'I1 General Inputs'!$C$14,X$35:X$63)*'I1 General Inputs'!$A15</f>
        <v>0</v>
      </c>
      <c r="Y67" s="18">
        <f>SUMIF($C$35:$C$63,$C67,Y$35:Y$63)-SUMIF($C$35:$C$63,'I1 General Inputs'!$C$14,Y$35:Y$63)*'I1 General Inputs'!$A15</f>
        <v>0</v>
      </c>
      <c r="Z67" s="18">
        <f>SUMIF($C$35:$C$63,$C67,Z$35:Z$63)-SUMIF($C$35:$C$63,'I1 General Inputs'!$C$14,Z$35:Z$63)*'I1 General Inputs'!$A15</f>
        <v>0</v>
      </c>
      <c r="AA67" s="18">
        <f>SUMIF($C$35:$C$63,$C67,AA$35:AA$63)-SUMIF($C$35:$C$63,'I1 General Inputs'!$C$14,AA$35:AA$63)*'I1 General Inputs'!$A15</f>
        <v>0</v>
      </c>
      <c r="AB67" s="18">
        <f>SUMIF($C$35:$C$63,$C67,AB$35:AB$63)-SUMIF($C$35:$C$63,'I1 General Inputs'!$C$14,AB$35:AB$63)*'I1 General Inputs'!$A15</f>
        <v>0</v>
      </c>
      <c r="AC67" s="18">
        <f>SUMIF($C$35:$C$63,$C67,AC$35:AC$63)-SUMIF($C$35:$C$63,'I1 General Inputs'!$C$14,AC$35:AC$63)*'I1 General Inputs'!$A15</f>
        <v>0</v>
      </c>
      <c r="AD67" s="18">
        <f>SUMIF($C$35:$C$63,$C67,AD$35:AD$63)-SUMIF($C$35:$C$63,'I1 General Inputs'!$C$14,AD$35:AD$63)*'I1 General Inputs'!$A15</f>
        <v>0</v>
      </c>
      <c r="AE67" s="18">
        <f>SUMIF($C$35:$C$63,$C67,AE$35:AE$63)-SUMIF($C$35:$C$63,'I1 General Inputs'!$C$14,AE$35:AE$63)*'I1 General Inputs'!$A15</f>
        <v>0</v>
      </c>
      <c r="AF67" s="18">
        <f>SUMIF($C$35:$C$63,$C67,AF$35:AF$63)-SUMIF($C$35:$C$63,'I1 General Inputs'!$C$14,AF$35:AF$63)*'I1 General Inputs'!$A15</f>
        <v>74060000</v>
      </c>
      <c r="AG67" s="18">
        <f>SUMIF($C$35:$C$63,$C67,AG$35:AG$63)-SUMIF($C$35:$C$63,'I1 General Inputs'!$C$14,AG$35:AG$63)*'I1 General Inputs'!$A15</f>
        <v>0</v>
      </c>
      <c r="AH67" s="18">
        <f>SUMIF($C$35:$C$63,$C67,AH$35:AH$63)-SUMIF($C$35:$C$63,'I1 General Inputs'!$C$14,AH$35:AH$63)*'I1 General Inputs'!$A15</f>
        <v>0</v>
      </c>
      <c r="AI67" s="18">
        <f>SUMIF($C$35:$C$63,$C67,AI$35:AI$63)-SUMIF($C$35:$C$63,'I1 General Inputs'!$C$14,AI$35:AI$63)*'I1 General Inputs'!$A15</f>
        <v>0</v>
      </c>
      <c r="AJ67" s="18">
        <f>SUMIF($C$35:$C$63,$C67,AJ$35:AJ$63)-SUMIF($C$35:$C$63,'I1 General Inputs'!$C$14,AJ$35:AJ$63)*'I1 General Inputs'!$A15</f>
        <v>0</v>
      </c>
    </row>
    <row r="68" spans="2:36" x14ac:dyDescent="0.2">
      <c r="B68" s="9">
        <f>+'I1 General Inputs'!$B$16</f>
        <v>2</v>
      </c>
      <c r="C68" s="15" t="str">
        <f>+'I1 General Inputs'!$C$16</f>
        <v>Option 1B</v>
      </c>
      <c r="D68" s="28"/>
      <c r="E68" s="13" t="s">
        <v>35</v>
      </c>
      <c r="F68" s="19">
        <f t="shared" si="21"/>
        <v>-25715467.479306318</v>
      </c>
      <c r="G68" s="18">
        <f>SUMIF($C$35:$C$63,$C68,G$35:G$63)-SUMIF($C$35:$C$63,'I1 General Inputs'!$C$14,G$35:G$63)*'I1 General Inputs'!$A16</f>
        <v>0</v>
      </c>
      <c r="H68" s="18">
        <f>SUMIF($C$35:$C$63,$C68,H$35:H$63)-SUMIF($C$35:$C$63,'I1 General Inputs'!$C$14,H$35:H$63)*'I1 General Inputs'!$A16</f>
        <v>0</v>
      </c>
      <c r="I68" s="18">
        <f>SUMIF($C$35:$C$63,$C68,I$35:I$63)-SUMIF($C$35:$C$63,'I1 General Inputs'!$C$14,I$35:I$63)*'I1 General Inputs'!$A16</f>
        <v>-33500000</v>
      </c>
      <c r="J68" s="18">
        <f>SUMIF($C$35:$C$63,$C68,J$35:J$63)-SUMIF($C$35:$C$63,'I1 General Inputs'!$C$14,J$35:J$63)*'I1 General Inputs'!$A16</f>
        <v>0</v>
      </c>
      <c r="K68" s="18">
        <f>SUMIF($C$35:$C$63,$C68,K$35:K$63)-SUMIF($C$35:$C$63,'I1 General Inputs'!$C$14,K$35:K$63)*'I1 General Inputs'!$A16</f>
        <v>0</v>
      </c>
      <c r="L68" s="18">
        <f>SUMIF($C$35:$C$63,$C68,L$35:L$63)-SUMIF($C$35:$C$63,'I1 General Inputs'!$C$14,L$35:L$63)*'I1 General Inputs'!$A16</f>
        <v>0</v>
      </c>
      <c r="M68" s="18">
        <f>SUMIF($C$35:$C$63,$C68,M$35:M$63)-SUMIF($C$35:$C$63,'I1 General Inputs'!$C$14,M$35:M$63)*'I1 General Inputs'!$A16</f>
        <v>0</v>
      </c>
      <c r="N68" s="18">
        <f>SUMIF($C$35:$C$63,$C68,N$35:N$63)-SUMIF($C$35:$C$63,'I1 General Inputs'!$C$14,N$35:N$63)*'I1 General Inputs'!$A16</f>
        <v>0</v>
      </c>
      <c r="O68" s="18">
        <f>SUMIF($C$35:$C$63,$C68,O$35:O$63)-SUMIF($C$35:$C$63,'I1 General Inputs'!$C$14,O$35:O$63)*'I1 General Inputs'!$A16</f>
        <v>0</v>
      </c>
      <c r="P68" s="18">
        <f>SUMIF($C$35:$C$63,$C68,P$35:P$63)-SUMIF($C$35:$C$63,'I1 General Inputs'!$C$14,P$35:P$63)*'I1 General Inputs'!$A16</f>
        <v>0</v>
      </c>
      <c r="Q68" s="18">
        <f>SUMIF($C$35:$C$63,$C68,Q$35:Q$63)-SUMIF($C$35:$C$63,'I1 General Inputs'!$C$14,Q$35:Q$63)*'I1 General Inputs'!$A16</f>
        <v>0</v>
      </c>
      <c r="R68" s="18">
        <f>SUMIF($C$35:$C$63,$C68,R$35:R$63)-SUMIF($C$35:$C$63,'I1 General Inputs'!$C$14,R$35:R$63)*'I1 General Inputs'!$A16</f>
        <v>0</v>
      </c>
      <c r="S68" s="18">
        <f>SUMIF($C$35:$C$63,$C68,S$35:S$63)-SUMIF($C$35:$C$63,'I1 General Inputs'!$C$14,S$35:S$63)*'I1 General Inputs'!$A16</f>
        <v>0</v>
      </c>
      <c r="T68" s="18">
        <f>SUMIF($C$35:$C$63,$C68,T$35:T$63)-SUMIF($C$35:$C$63,'I1 General Inputs'!$C$14,T$35:T$63)*'I1 General Inputs'!$A16</f>
        <v>0</v>
      </c>
      <c r="U68" s="18">
        <f>SUMIF($C$35:$C$63,$C68,U$35:U$63)-SUMIF($C$35:$C$63,'I1 General Inputs'!$C$14,U$35:U$63)*'I1 General Inputs'!$A16</f>
        <v>0</v>
      </c>
      <c r="V68" s="18">
        <f>SUMIF($C$35:$C$63,$C68,V$35:V$63)-SUMIF($C$35:$C$63,'I1 General Inputs'!$C$14,V$35:V$63)*'I1 General Inputs'!$A16</f>
        <v>0</v>
      </c>
      <c r="W68" s="18">
        <f>SUMIF($C$35:$C$63,$C68,W$35:W$63)-SUMIF($C$35:$C$63,'I1 General Inputs'!$C$14,W$35:W$63)*'I1 General Inputs'!$A16</f>
        <v>0</v>
      </c>
      <c r="X68" s="18">
        <f>SUMIF($C$35:$C$63,$C68,X$35:X$63)-SUMIF($C$35:$C$63,'I1 General Inputs'!$C$14,X$35:X$63)*'I1 General Inputs'!$A16</f>
        <v>0</v>
      </c>
      <c r="Y68" s="18">
        <f>SUMIF($C$35:$C$63,$C68,Y$35:Y$63)-SUMIF($C$35:$C$63,'I1 General Inputs'!$C$14,Y$35:Y$63)*'I1 General Inputs'!$A16</f>
        <v>0</v>
      </c>
      <c r="Z68" s="18">
        <f>SUMIF($C$35:$C$63,$C68,Z$35:Z$63)-SUMIF($C$35:$C$63,'I1 General Inputs'!$C$14,Z$35:Z$63)*'I1 General Inputs'!$A16</f>
        <v>0</v>
      </c>
      <c r="AA68" s="18">
        <f>SUMIF($C$35:$C$63,$C68,AA$35:AA$63)-SUMIF($C$35:$C$63,'I1 General Inputs'!$C$14,AA$35:AA$63)*'I1 General Inputs'!$A16</f>
        <v>0</v>
      </c>
      <c r="AB68" s="18">
        <f>SUMIF($C$35:$C$63,$C68,AB$35:AB$63)-SUMIF($C$35:$C$63,'I1 General Inputs'!$C$14,AB$35:AB$63)*'I1 General Inputs'!$A16</f>
        <v>0</v>
      </c>
      <c r="AC68" s="18">
        <f>SUMIF($C$35:$C$63,$C68,AC$35:AC$63)-SUMIF($C$35:$C$63,'I1 General Inputs'!$C$14,AC$35:AC$63)*'I1 General Inputs'!$A16</f>
        <v>0</v>
      </c>
      <c r="AD68" s="18">
        <f>SUMIF($C$35:$C$63,$C68,AD$35:AD$63)-SUMIF($C$35:$C$63,'I1 General Inputs'!$C$14,AD$35:AD$63)*'I1 General Inputs'!$A16</f>
        <v>0</v>
      </c>
      <c r="AE68" s="18">
        <f>SUMIF($C$35:$C$63,$C68,AE$35:AE$63)-SUMIF($C$35:$C$63,'I1 General Inputs'!$C$14,AE$35:AE$63)*'I1 General Inputs'!$A16</f>
        <v>0</v>
      </c>
      <c r="AF68" s="18">
        <f>SUMIF($C$35:$C$63,$C68,AF$35:AF$63)-SUMIF($C$35:$C$63,'I1 General Inputs'!$C$14,AF$35:AF$63)*'I1 General Inputs'!$A16</f>
        <v>17420000</v>
      </c>
      <c r="AG68" s="18">
        <f>SUMIF($C$35:$C$63,$C68,AG$35:AG$63)-SUMIF($C$35:$C$63,'I1 General Inputs'!$C$14,AG$35:AG$63)*'I1 General Inputs'!$A16</f>
        <v>0</v>
      </c>
      <c r="AH68" s="18">
        <f>SUMIF($C$35:$C$63,$C68,AH$35:AH$63)-SUMIF($C$35:$C$63,'I1 General Inputs'!$C$14,AH$35:AH$63)*'I1 General Inputs'!$A16</f>
        <v>0</v>
      </c>
      <c r="AI68" s="18">
        <f>SUMIF($C$35:$C$63,$C68,AI$35:AI$63)-SUMIF($C$35:$C$63,'I1 General Inputs'!$C$14,AI$35:AI$63)*'I1 General Inputs'!$A16</f>
        <v>0</v>
      </c>
      <c r="AJ68" s="18">
        <f>SUMIF($C$35:$C$63,$C68,AJ$35:AJ$63)-SUMIF($C$35:$C$63,'I1 General Inputs'!$C$14,AJ$35:AJ$63)*'I1 General Inputs'!$A16</f>
        <v>0</v>
      </c>
    </row>
    <row r="69" spans="2:36" x14ac:dyDescent="0.2">
      <c r="B69" s="9">
        <f>+'I1 General Inputs'!$B$17</f>
        <v>3</v>
      </c>
      <c r="C69" s="15" t="str">
        <f>+'I1 General Inputs'!$C$17</f>
        <v>Option 1C</v>
      </c>
      <c r="D69" s="28"/>
      <c r="E69" s="13" t="s">
        <v>35</v>
      </c>
      <c r="F69" s="19">
        <f t="shared" si="21"/>
        <v>-112749469.70471734</v>
      </c>
      <c r="G69" s="18">
        <f>SUMIF($C$35:$C$63,$C69,G$35:G$63)-SUMIF($C$35:$C$63,'I1 General Inputs'!$C$14,G$35:G$63)*'I1 General Inputs'!$A17</f>
        <v>0</v>
      </c>
      <c r="H69" s="18">
        <f>SUMIF($C$35:$C$63,$C69,H$35:H$63)-SUMIF($C$35:$C$63,'I1 General Inputs'!$C$14,H$35:H$63)*'I1 General Inputs'!$A17</f>
        <v>0</v>
      </c>
      <c r="I69" s="18">
        <f>SUMIF($C$35:$C$63,$C69,I$35:I$63)-SUMIF($C$35:$C$63,'I1 General Inputs'!$C$14,I$35:I$63)*'I1 General Inputs'!$A17</f>
        <v>-141600000</v>
      </c>
      <c r="J69" s="18">
        <f>SUMIF($C$35:$C$63,$C69,J$35:J$63)-SUMIF($C$35:$C$63,'I1 General Inputs'!$C$14,J$35:J$63)*'I1 General Inputs'!$A17</f>
        <v>0</v>
      </c>
      <c r="K69" s="18">
        <f>SUMIF($C$35:$C$63,$C69,K$35:K$63)-SUMIF($C$35:$C$63,'I1 General Inputs'!$C$14,K$35:K$63)*'I1 General Inputs'!$A17</f>
        <v>0</v>
      </c>
      <c r="L69" s="18">
        <f>SUMIF($C$35:$C$63,$C69,L$35:L$63)-SUMIF($C$35:$C$63,'I1 General Inputs'!$C$14,L$35:L$63)*'I1 General Inputs'!$A17</f>
        <v>0</v>
      </c>
      <c r="M69" s="18">
        <f>SUMIF($C$35:$C$63,$C69,M$35:M$63)-SUMIF($C$35:$C$63,'I1 General Inputs'!$C$14,M$35:M$63)*'I1 General Inputs'!$A17</f>
        <v>0</v>
      </c>
      <c r="N69" s="18">
        <f>SUMIF($C$35:$C$63,$C69,N$35:N$63)-SUMIF($C$35:$C$63,'I1 General Inputs'!$C$14,N$35:N$63)*'I1 General Inputs'!$A17</f>
        <v>0</v>
      </c>
      <c r="O69" s="18">
        <f>SUMIF($C$35:$C$63,$C69,O$35:O$63)-SUMIF($C$35:$C$63,'I1 General Inputs'!$C$14,O$35:O$63)*'I1 General Inputs'!$A17</f>
        <v>0</v>
      </c>
      <c r="P69" s="18">
        <f>SUMIF($C$35:$C$63,$C69,P$35:P$63)-SUMIF($C$35:$C$63,'I1 General Inputs'!$C$14,P$35:P$63)*'I1 General Inputs'!$A17</f>
        <v>0</v>
      </c>
      <c r="Q69" s="18">
        <f>SUMIF($C$35:$C$63,$C69,Q$35:Q$63)-SUMIF($C$35:$C$63,'I1 General Inputs'!$C$14,Q$35:Q$63)*'I1 General Inputs'!$A17</f>
        <v>0</v>
      </c>
      <c r="R69" s="18">
        <f>SUMIF($C$35:$C$63,$C69,R$35:R$63)-SUMIF($C$35:$C$63,'I1 General Inputs'!$C$14,R$35:R$63)*'I1 General Inputs'!$A17</f>
        <v>0</v>
      </c>
      <c r="S69" s="18">
        <f>SUMIF($C$35:$C$63,$C69,S$35:S$63)-SUMIF($C$35:$C$63,'I1 General Inputs'!$C$14,S$35:S$63)*'I1 General Inputs'!$A17</f>
        <v>0</v>
      </c>
      <c r="T69" s="18">
        <f>SUMIF($C$35:$C$63,$C69,T$35:T$63)-SUMIF($C$35:$C$63,'I1 General Inputs'!$C$14,T$35:T$63)*'I1 General Inputs'!$A17</f>
        <v>0</v>
      </c>
      <c r="U69" s="18">
        <f>SUMIF($C$35:$C$63,$C69,U$35:U$63)-SUMIF($C$35:$C$63,'I1 General Inputs'!$C$14,U$35:U$63)*'I1 General Inputs'!$A17</f>
        <v>0</v>
      </c>
      <c r="V69" s="18">
        <f>SUMIF($C$35:$C$63,$C69,V$35:V$63)-SUMIF($C$35:$C$63,'I1 General Inputs'!$C$14,V$35:V$63)*'I1 General Inputs'!$A17</f>
        <v>0</v>
      </c>
      <c r="W69" s="18">
        <f>SUMIF($C$35:$C$63,$C69,W$35:W$63)-SUMIF($C$35:$C$63,'I1 General Inputs'!$C$14,W$35:W$63)*'I1 General Inputs'!$A17</f>
        <v>0</v>
      </c>
      <c r="X69" s="18">
        <f>SUMIF($C$35:$C$63,$C69,X$35:X$63)-SUMIF($C$35:$C$63,'I1 General Inputs'!$C$14,X$35:X$63)*'I1 General Inputs'!$A17</f>
        <v>0</v>
      </c>
      <c r="Y69" s="18">
        <f>SUMIF($C$35:$C$63,$C69,Y$35:Y$63)-SUMIF($C$35:$C$63,'I1 General Inputs'!$C$14,Y$35:Y$63)*'I1 General Inputs'!$A17</f>
        <v>0</v>
      </c>
      <c r="Z69" s="18">
        <f>SUMIF($C$35:$C$63,$C69,Z$35:Z$63)-SUMIF($C$35:$C$63,'I1 General Inputs'!$C$14,Z$35:Z$63)*'I1 General Inputs'!$A17</f>
        <v>0</v>
      </c>
      <c r="AA69" s="18">
        <f>SUMIF($C$35:$C$63,$C69,AA$35:AA$63)-SUMIF($C$35:$C$63,'I1 General Inputs'!$C$14,AA$35:AA$63)*'I1 General Inputs'!$A17</f>
        <v>0</v>
      </c>
      <c r="AB69" s="18">
        <f>SUMIF($C$35:$C$63,$C69,AB$35:AB$63)-SUMIF($C$35:$C$63,'I1 General Inputs'!$C$14,AB$35:AB$63)*'I1 General Inputs'!$A17</f>
        <v>0</v>
      </c>
      <c r="AC69" s="18">
        <f>SUMIF($C$35:$C$63,$C69,AC$35:AC$63)-SUMIF($C$35:$C$63,'I1 General Inputs'!$C$14,AC$35:AC$63)*'I1 General Inputs'!$A17</f>
        <v>0</v>
      </c>
      <c r="AD69" s="18">
        <f>SUMIF($C$35:$C$63,$C69,AD$35:AD$63)-SUMIF($C$35:$C$63,'I1 General Inputs'!$C$14,AD$35:AD$63)*'I1 General Inputs'!$A17</f>
        <v>0</v>
      </c>
      <c r="AE69" s="18">
        <f>SUMIF($C$35:$C$63,$C69,AE$35:AE$63)-SUMIF($C$35:$C$63,'I1 General Inputs'!$C$14,AE$35:AE$63)*'I1 General Inputs'!$A17</f>
        <v>0</v>
      </c>
      <c r="AF69" s="18">
        <f>SUMIF($C$35:$C$63,$C69,AF$35:AF$63)-SUMIF($C$35:$C$63,'I1 General Inputs'!$C$14,AF$35:AF$63)*'I1 General Inputs'!$A17</f>
        <v>56640000</v>
      </c>
      <c r="AG69" s="18">
        <f>SUMIF($C$35:$C$63,$C69,AG$35:AG$63)-SUMIF($C$35:$C$63,'I1 General Inputs'!$C$14,AG$35:AG$63)*'I1 General Inputs'!$A17</f>
        <v>0</v>
      </c>
      <c r="AH69" s="18">
        <f>SUMIF($C$35:$C$63,$C69,AH$35:AH$63)-SUMIF($C$35:$C$63,'I1 General Inputs'!$C$14,AH$35:AH$63)*'I1 General Inputs'!$A17</f>
        <v>0</v>
      </c>
      <c r="AI69" s="18">
        <f>SUMIF($C$35:$C$63,$C69,AI$35:AI$63)-SUMIF($C$35:$C$63,'I1 General Inputs'!$C$14,AI$35:AI$63)*'I1 General Inputs'!$A17</f>
        <v>0</v>
      </c>
      <c r="AJ69" s="18">
        <f>SUMIF($C$35:$C$63,$C69,AJ$35:AJ$63)-SUMIF($C$35:$C$63,'I1 General Inputs'!$C$14,AJ$35:AJ$63)*'I1 General Inputs'!$A17</f>
        <v>0</v>
      </c>
    </row>
    <row r="70" spans="2:36" x14ac:dyDescent="0.2">
      <c r="B70" s="9">
        <f>+'I1 General Inputs'!$B$18</f>
        <v>4</v>
      </c>
      <c r="C70" s="15" t="str">
        <f>+'I1 General Inputs'!$C$18</f>
        <v>Option 1D</v>
      </c>
      <c r="D70" s="28"/>
      <c r="E70" s="13" t="s">
        <v>35</v>
      </c>
      <c r="F70" s="19">
        <f t="shared" si="21"/>
        <v>-35831399.270566955</v>
      </c>
      <c r="G70" s="18">
        <f>SUMIF($C$35:$C$63,$C70,G$35:G$63)-SUMIF($C$35:$C$63,'I1 General Inputs'!$C$14,G$35:G$63)*'I1 General Inputs'!$A18</f>
        <v>0</v>
      </c>
      <c r="H70" s="18">
        <f>SUMIF($C$35:$C$63,$C70,H$35:H$63)-SUMIF($C$35:$C$63,'I1 General Inputs'!$C$14,H$35:H$63)*'I1 General Inputs'!$A18</f>
        <v>0</v>
      </c>
      <c r="I70" s="18">
        <f>SUMIF($C$35:$C$63,$C70,I$35:I$63)-SUMIF($C$35:$C$63,'I1 General Inputs'!$C$14,I$35:I$63)*'I1 General Inputs'!$A18</f>
        <v>-45000000</v>
      </c>
      <c r="J70" s="18">
        <f>SUMIF($C$35:$C$63,$C70,J$35:J$63)-SUMIF($C$35:$C$63,'I1 General Inputs'!$C$14,J$35:J$63)*'I1 General Inputs'!$A18</f>
        <v>0</v>
      </c>
      <c r="K70" s="18">
        <f>SUMIF($C$35:$C$63,$C70,K$35:K$63)-SUMIF($C$35:$C$63,'I1 General Inputs'!$C$14,K$35:K$63)*'I1 General Inputs'!$A18</f>
        <v>0</v>
      </c>
      <c r="L70" s="18">
        <f>SUMIF($C$35:$C$63,$C70,L$35:L$63)-SUMIF($C$35:$C$63,'I1 General Inputs'!$C$14,L$35:L$63)*'I1 General Inputs'!$A18</f>
        <v>0</v>
      </c>
      <c r="M70" s="18">
        <f>SUMIF($C$35:$C$63,$C70,M$35:M$63)-SUMIF($C$35:$C$63,'I1 General Inputs'!$C$14,M$35:M$63)*'I1 General Inputs'!$A18</f>
        <v>0</v>
      </c>
      <c r="N70" s="18">
        <f>SUMIF($C$35:$C$63,$C70,N$35:N$63)-SUMIF($C$35:$C$63,'I1 General Inputs'!$C$14,N$35:N$63)*'I1 General Inputs'!$A18</f>
        <v>0</v>
      </c>
      <c r="O70" s="18">
        <f>SUMIF($C$35:$C$63,$C70,O$35:O$63)-SUMIF($C$35:$C$63,'I1 General Inputs'!$C$14,O$35:O$63)*'I1 General Inputs'!$A18</f>
        <v>0</v>
      </c>
      <c r="P70" s="18">
        <f>SUMIF($C$35:$C$63,$C70,P$35:P$63)-SUMIF($C$35:$C$63,'I1 General Inputs'!$C$14,P$35:P$63)*'I1 General Inputs'!$A18</f>
        <v>0</v>
      </c>
      <c r="Q70" s="18">
        <f>SUMIF($C$35:$C$63,$C70,Q$35:Q$63)-SUMIF($C$35:$C$63,'I1 General Inputs'!$C$14,Q$35:Q$63)*'I1 General Inputs'!$A18</f>
        <v>0</v>
      </c>
      <c r="R70" s="18">
        <f>SUMIF($C$35:$C$63,$C70,R$35:R$63)-SUMIF($C$35:$C$63,'I1 General Inputs'!$C$14,R$35:R$63)*'I1 General Inputs'!$A18</f>
        <v>0</v>
      </c>
      <c r="S70" s="18">
        <f>SUMIF($C$35:$C$63,$C70,S$35:S$63)-SUMIF($C$35:$C$63,'I1 General Inputs'!$C$14,S$35:S$63)*'I1 General Inputs'!$A18</f>
        <v>0</v>
      </c>
      <c r="T70" s="18">
        <f>SUMIF($C$35:$C$63,$C70,T$35:T$63)-SUMIF($C$35:$C$63,'I1 General Inputs'!$C$14,T$35:T$63)*'I1 General Inputs'!$A18</f>
        <v>0</v>
      </c>
      <c r="U70" s="18">
        <f>SUMIF($C$35:$C$63,$C70,U$35:U$63)-SUMIF($C$35:$C$63,'I1 General Inputs'!$C$14,U$35:U$63)*'I1 General Inputs'!$A18</f>
        <v>0</v>
      </c>
      <c r="V70" s="18">
        <f>SUMIF($C$35:$C$63,$C70,V$35:V$63)-SUMIF($C$35:$C$63,'I1 General Inputs'!$C$14,V$35:V$63)*'I1 General Inputs'!$A18</f>
        <v>0</v>
      </c>
      <c r="W70" s="18">
        <f>SUMIF($C$35:$C$63,$C70,W$35:W$63)-SUMIF($C$35:$C$63,'I1 General Inputs'!$C$14,W$35:W$63)*'I1 General Inputs'!$A18</f>
        <v>0</v>
      </c>
      <c r="X70" s="18">
        <f>SUMIF($C$35:$C$63,$C70,X$35:X$63)-SUMIF($C$35:$C$63,'I1 General Inputs'!$C$14,X$35:X$63)*'I1 General Inputs'!$A18</f>
        <v>0</v>
      </c>
      <c r="Y70" s="18">
        <f>SUMIF($C$35:$C$63,$C70,Y$35:Y$63)-SUMIF($C$35:$C$63,'I1 General Inputs'!$C$14,Y$35:Y$63)*'I1 General Inputs'!$A18</f>
        <v>0</v>
      </c>
      <c r="Z70" s="18">
        <f>SUMIF($C$35:$C$63,$C70,Z$35:Z$63)-SUMIF($C$35:$C$63,'I1 General Inputs'!$C$14,Z$35:Z$63)*'I1 General Inputs'!$A18</f>
        <v>0</v>
      </c>
      <c r="AA70" s="18">
        <f>SUMIF($C$35:$C$63,$C70,AA$35:AA$63)-SUMIF($C$35:$C$63,'I1 General Inputs'!$C$14,AA$35:AA$63)*'I1 General Inputs'!$A18</f>
        <v>0</v>
      </c>
      <c r="AB70" s="18">
        <f>SUMIF($C$35:$C$63,$C70,AB$35:AB$63)-SUMIF($C$35:$C$63,'I1 General Inputs'!$C$14,AB$35:AB$63)*'I1 General Inputs'!$A18</f>
        <v>0</v>
      </c>
      <c r="AC70" s="18">
        <f>SUMIF($C$35:$C$63,$C70,AC$35:AC$63)-SUMIF($C$35:$C$63,'I1 General Inputs'!$C$14,AC$35:AC$63)*'I1 General Inputs'!$A18</f>
        <v>0</v>
      </c>
      <c r="AD70" s="18">
        <f>SUMIF($C$35:$C$63,$C70,AD$35:AD$63)-SUMIF($C$35:$C$63,'I1 General Inputs'!$C$14,AD$35:AD$63)*'I1 General Inputs'!$A18</f>
        <v>0</v>
      </c>
      <c r="AE70" s="18">
        <f>SUMIF($C$35:$C$63,$C70,AE$35:AE$63)-SUMIF($C$35:$C$63,'I1 General Inputs'!$C$14,AE$35:AE$63)*'I1 General Inputs'!$A18</f>
        <v>0</v>
      </c>
      <c r="AF70" s="18">
        <f>SUMIF($C$35:$C$63,$C70,AF$35:AF$63)-SUMIF($C$35:$C$63,'I1 General Inputs'!$C$14,AF$35:AF$63)*'I1 General Inputs'!$A18</f>
        <v>18000000</v>
      </c>
      <c r="AG70" s="18">
        <f>SUMIF($C$35:$C$63,$C70,AG$35:AG$63)-SUMIF($C$35:$C$63,'I1 General Inputs'!$C$14,AG$35:AG$63)*'I1 General Inputs'!$A18</f>
        <v>0</v>
      </c>
      <c r="AH70" s="18">
        <f>SUMIF($C$35:$C$63,$C70,AH$35:AH$63)-SUMIF($C$35:$C$63,'I1 General Inputs'!$C$14,AH$35:AH$63)*'I1 General Inputs'!$A18</f>
        <v>0</v>
      </c>
      <c r="AI70" s="18">
        <f>SUMIF($C$35:$C$63,$C70,AI$35:AI$63)-SUMIF($C$35:$C$63,'I1 General Inputs'!$C$14,AI$35:AI$63)*'I1 General Inputs'!$A18</f>
        <v>0</v>
      </c>
      <c r="AJ70" s="18">
        <f>SUMIF($C$35:$C$63,$C70,AJ$35:AJ$63)-SUMIF($C$35:$C$63,'I1 General Inputs'!$C$14,AJ$35:AJ$63)*'I1 General Inputs'!$A18</f>
        <v>0</v>
      </c>
    </row>
    <row r="71" spans="2:36" x14ac:dyDescent="0.2">
      <c r="B71" s="9">
        <f>+'I1 General Inputs'!$B$19</f>
        <v>5</v>
      </c>
      <c r="C71" s="15" t="str">
        <f>+'I1 General Inputs'!$C$19</f>
        <v>Option 5A</v>
      </c>
      <c r="D71" s="28"/>
      <c r="E71" s="13" t="s">
        <v>35</v>
      </c>
      <c r="F71" s="19">
        <f t="shared" si="21"/>
        <v>-79988839.483082816</v>
      </c>
      <c r="G71" s="18">
        <f>SUMIF($C$35:$C$63,$C71,G$35:G$63)-SUMIF($C$35:$C$63,'I1 General Inputs'!$C$14,G$35:G$63)*'I1 General Inputs'!$A19</f>
        <v>0</v>
      </c>
      <c r="H71" s="18">
        <f>SUMIF($C$35:$C$63,$C71,H$35:H$63)-SUMIF($C$35:$C$63,'I1 General Inputs'!$C$14,H$35:H$63)*'I1 General Inputs'!$A19</f>
        <v>0</v>
      </c>
      <c r="I71" s="18">
        <f>SUMIF($C$35:$C$63,$C71,I$35:I$63)-SUMIF($C$35:$C$63,'I1 General Inputs'!$C$14,I$35:I$63)*'I1 General Inputs'!$A19</f>
        <v>-86000000</v>
      </c>
      <c r="J71" s="18">
        <f>SUMIF($C$35:$C$63,$C71,J$35:J$63)-SUMIF($C$35:$C$63,'I1 General Inputs'!$C$14,J$35:J$63)*'I1 General Inputs'!$A19</f>
        <v>0</v>
      </c>
      <c r="K71" s="18">
        <f>SUMIF($C$35:$C$63,$C71,K$35:K$63)-SUMIF($C$35:$C$63,'I1 General Inputs'!$C$14,K$35:K$63)*'I1 General Inputs'!$A19</f>
        <v>0</v>
      </c>
      <c r="L71" s="18">
        <f>SUMIF($C$35:$C$63,$C71,L$35:L$63)-SUMIF($C$35:$C$63,'I1 General Inputs'!$C$14,L$35:L$63)*'I1 General Inputs'!$A19</f>
        <v>0</v>
      </c>
      <c r="M71" s="18">
        <f>SUMIF($C$35:$C$63,$C71,M$35:M$63)-SUMIF($C$35:$C$63,'I1 General Inputs'!$C$14,M$35:M$63)*'I1 General Inputs'!$A19</f>
        <v>0</v>
      </c>
      <c r="N71" s="18">
        <f>SUMIF($C$35:$C$63,$C71,N$35:N$63)-SUMIF($C$35:$C$63,'I1 General Inputs'!$C$14,N$35:N$63)*'I1 General Inputs'!$A19</f>
        <v>0</v>
      </c>
      <c r="O71" s="18">
        <f>SUMIF($C$35:$C$63,$C71,O$35:O$63)-SUMIF($C$35:$C$63,'I1 General Inputs'!$C$14,O$35:O$63)*'I1 General Inputs'!$A19</f>
        <v>0</v>
      </c>
      <c r="P71" s="18">
        <f>SUMIF($C$35:$C$63,$C71,P$35:P$63)-SUMIF($C$35:$C$63,'I1 General Inputs'!$C$14,P$35:P$63)*'I1 General Inputs'!$A19</f>
        <v>0</v>
      </c>
      <c r="Q71" s="18">
        <f>SUMIF($C$35:$C$63,$C71,Q$35:Q$63)-SUMIF($C$35:$C$63,'I1 General Inputs'!$C$14,Q$35:Q$63)*'I1 General Inputs'!$A19</f>
        <v>0</v>
      </c>
      <c r="R71" s="18">
        <f>SUMIF($C$35:$C$63,$C71,R$35:R$63)-SUMIF($C$35:$C$63,'I1 General Inputs'!$C$14,R$35:R$63)*'I1 General Inputs'!$A19</f>
        <v>0</v>
      </c>
      <c r="S71" s="18">
        <f>SUMIF($C$35:$C$63,$C71,S$35:S$63)-SUMIF($C$35:$C$63,'I1 General Inputs'!$C$14,S$35:S$63)*'I1 General Inputs'!$A19</f>
        <v>0</v>
      </c>
      <c r="T71" s="18">
        <f>SUMIF($C$35:$C$63,$C71,T$35:T$63)-SUMIF($C$35:$C$63,'I1 General Inputs'!$C$14,T$35:T$63)*'I1 General Inputs'!$A19</f>
        <v>0</v>
      </c>
      <c r="U71" s="18">
        <f>SUMIF($C$35:$C$63,$C71,U$35:U$63)-SUMIF($C$35:$C$63,'I1 General Inputs'!$C$14,U$35:U$63)*'I1 General Inputs'!$A19</f>
        <v>0</v>
      </c>
      <c r="V71" s="18">
        <f>SUMIF($C$35:$C$63,$C71,V$35:V$63)-SUMIF($C$35:$C$63,'I1 General Inputs'!$C$14,V$35:V$63)*'I1 General Inputs'!$A19</f>
        <v>0</v>
      </c>
      <c r="W71" s="18">
        <f>SUMIF($C$35:$C$63,$C71,W$35:W$63)-SUMIF($C$35:$C$63,'I1 General Inputs'!$C$14,W$35:W$63)*'I1 General Inputs'!$A19</f>
        <v>0</v>
      </c>
      <c r="X71" s="18">
        <f>SUMIF($C$35:$C$63,$C71,X$35:X$63)-SUMIF($C$35:$C$63,'I1 General Inputs'!$C$14,X$35:X$63)*'I1 General Inputs'!$A19</f>
        <v>-23600000</v>
      </c>
      <c r="Y71" s="18">
        <f>SUMIF($C$35:$C$63,$C71,Y$35:Y$63)-SUMIF($C$35:$C$63,'I1 General Inputs'!$C$14,Y$35:Y$63)*'I1 General Inputs'!$A19</f>
        <v>0</v>
      </c>
      <c r="Z71" s="18">
        <f>SUMIF($C$35:$C$63,$C71,Z$35:Z$63)-SUMIF($C$35:$C$63,'I1 General Inputs'!$C$14,Z$35:Z$63)*'I1 General Inputs'!$A19</f>
        <v>0</v>
      </c>
      <c r="AA71" s="18">
        <f>SUMIF($C$35:$C$63,$C71,AA$35:AA$63)-SUMIF($C$35:$C$63,'I1 General Inputs'!$C$14,AA$35:AA$63)*'I1 General Inputs'!$A19</f>
        <v>0</v>
      </c>
      <c r="AB71" s="18">
        <f>SUMIF($C$35:$C$63,$C71,AB$35:AB$63)-SUMIF($C$35:$C$63,'I1 General Inputs'!$C$14,AB$35:AB$63)*'I1 General Inputs'!$A19</f>
        <v>0</v>
      </c>
      <c r="AC71" s="18">
        <f>SUMIF($C$35:$C$63,$C71,AC$35:AC$63)-SUMIF($C$35:$C$63,'I1 General Inputs'!$C$14,AC$35:AC$63)*'I1 General Inputs'!$A19</f>
        <v>0</v>
      </c>
      <c r="AD71" s="18">
        <f>SUMIF($C$35:$C$63,$C71,AD$35:AD$63)-SUMIF($C$35:$C$63,'I1 General Inputs'!$C$14,AD$35:AD$63)*'I1 General Inputs'!$A19</f>
        <v>0</v>
      </c>
      <c r="AE71" s="18">
        <f>SUMIF($C$35:$C$63,$C71,AE$35:AE$63)-SUMIF($C$35:$C$63,'I1 General Inputs'!$C$14,AE$35:AE$63)*'I1 General Inputs'!$A19</f>
        <v>0</v>
      </c>
      <c r="AF71" s="18">
        <f>SUMIF($C$35:$C$63,$C71,AF$35:AF$63)-SUMIF($C$35:$C$63,'I1 General Inputs'!$C$14,AF$35:AF$63)*'I1 General Inputs'!$A19</f>
        <v>23480000</v>
      </c>
      <c r="AG71" s="18">
        <f>SUMIF($C$35:$C$63,$C71,AG$35:AG$63)-SUMIF($C$35:$C$63,'I1 General Inputs'!$C$14,AG$35:AG$63)*'I1 General Inputs'!$A19</f>
        <v>0</v>
      </c>
      <c r="AH71" s="18">
        <f>SUMIF($C$35:$C$63,$C71,AH$35:AH$63)-SUMIF($C$35:$C$63,'I1 General Inputs'!$C$14,AH$35:AH$63)*'I1 General Inputs'!$A19</f>
        <v>0</v>
      </c>
      <c r="AI71" s="18">
        <f>SUMIF($C$35:$C$63,$C71,AI$35:AI$63)-SUMIF($C$35:$C$63,'I1 General Inputs'!$C$14,AI$35:AI$63)*'I1 General Inputs'!$A19</f>
        <v>0</v>
      </c>
      <c r="AJ71" s="18">
        <f>SUMIF($C$35:$C$63,$C71,AJ$35:AJ$63)-SUMIF($C$35:$C$63,'I1 General Inputs'!$C$14,AJ$35:AJ$63)*'I1 General Inputs'!$A19</f>
        <v>0</v>
      </c>
    </row>
    <row r="72" spans="2:36" x14ac:dyDescent="0.2">
      <c r="B72" s="9">
        <f>+'I1 General Inputs'!$B$20</f>
        <v>6</v>
      </c>
      <c r="C72" s="15" t="str">
        <f>+'I1 General Inputs'!$C$20</f>
        <v>Option 5B</v>
      </c>
      <c r="D72" s="28"/>
      <c r="E72" s="13" t="s">
        <v>35</v>
      </c>
      <c r="F72" s="19">
        <f t="shared" si="21"/>
        <v>-332809646.37239742</v>
      </c>
      <c r="G72" s="18">
        <f>SUMIF($C$35:$C$63,$C72,G$35:G$63)-SUMIF($C$35:$C$63,'I1 General Inputs'!$C$14,G$35:G$63)*'I1 General Inputs'!$A20</f>
        <v>0</v>
      </c>
      <c r="H72" s="18">
        <f>SUMIF($C$35:$C$63,$C72,H$35:H$63)-SUMIF($C$35:$C$63,'I1 General Inputs'!$C$14,H$35:H$63)*'I1 General Inputs'!$A20</f>
        <v>0</v>
      </c>
      <c r="I72" s="18">
        <f>SUMIF($C$35:$C$63,$C72,I$35:I$63)-SUMIF($C$35:$C$63,'I1 General Inputs'!$C$14,I$35:I$63)*'I1 General Inputs'!$A20</f>
        <v>-341000000</v>
      </c>
      <c r="J72" s="18">
        <f>SUMIF($C$35:$C$63,$C72,J$35:J$63)-SUMIF($C$35:$C$63,'I1 General Inputs'!$C$14,J$35:J$63)*'I1 General Inputs'!$A20</f>
        <v>0</v>
      </c>
      <c r="K72" s="18">
        <f>SUMIF($C$35:$C$63,$C72,K$35:K$63)-SUMIF($C$35:$C$63,'I1 General Inputs'!$C$14,K$35:K$63)*'I1 General Inputs'!$A20</f>
        <v>0</v>
      </c>
      <c r="L72" s="18">
        <f>SUMIF($C$35:$C$63,$C72,L$35:L$63)-SUMIF($C$35:$C$63,'I1 General Inputs'!$C$14,L$35:L$63)*'I1 General Inputs'!$A20</f>
        <v>0</v>
      </c>
      <c r="M72" s="18">
        <f>SUMIF($C$35:$C$63,$C72,M$35:M$63)-SUMIF($C$35:$C$63,'I1 General Inputs'!$C$14,M$35:M$63)*'I1 General Inputs'!$A20</f>
        <v>0</v>
      </c>
      <c r="N72" s="18">
        <f>SUMIF($C$35:$C$63,$C72,N$35:N$63)-SUMIF($C$35:$C$63,'I1 General Inputs'!$C$14,N$35:N$63)*'I1 General Inputs'!$A20</f>
        <v>0</v>
      </c>
      <c r="O72" s="18">
        <f>SUMIF($C$35:$C$63,$C72,O$35:O$63)-SUMIF($C$35:$C$63,'I1 General Inputs'!$C$14,O$35:O$63)*'I1 General Inputs'!$A20</f>
        <v>0</v>
      </c>
      <c r="P72" s="18">
        <f>SUMIF($C$35:$C$63,$C72,P$35:P$63)-SUMIF($C$35:$C$63,'I1 General Inputs'!$C$14,P$35:P$63)*'I1 General Inputs'!$A20</f>
        <v>0</v>
      </c>
      <c r="Q72" s="18">
        <f>SUMIF($C$35:$C$63,$C72,Q$35:Q$63)-SUMIF($C$35:$C$63,'I1 General Inputs'!$C$14,Q$35:Q$63)*'I1 General Inputs'!$A20</f>
        <v>0</v>
      </c>
      <c r="R72" s="18">
        <f>SUMIF($C$35:$C$63,$C72,R$35:R$63)-SUMIF($C$35:$C$63,'I1 General Inputs'!$C$14,R$35:R$63)*'I1 General Inputs'!$A20</f>
        <v>0</v>
      </c>
      <c r="S72" s="18">
        <f>SUMIF($C$35:$C$63,$C72,S$35:S$63)-SUMIF($C$35:$C$63,'I1 General Inputs'!$C$14,S$35:S$63)*'I1 General Inputs'!$A20</f>
        <v>0</v>
      </c>
      <c r="T72" s="18">
        <f>SUMIF($C$35:$C$63,$C72,T$35:T$63)-SUMIF($C$35:$C$63,'I1 General Inputs'!$C$14,T$35:T$63)*'I1 General Inputs'!$A20</f>
        <v>0</v>
      </c>
      <c r="U72" s="18">
        <f>SUMIF($C$35:$C$63,$C72,U$35:U$63)-SUMIF($C$35:$C$63,'I1 General Inputs'!$C$14,U$35:U$63)*'I1 General Inputs'!$A20</f>
        <v>0</v>
      </c>
      <c r="V72" s="18">
        <f>SUMIF($C$35:$C$63,$C72,V$35:V$63)-SUMIF($C$35:$C$63,'I1 General Inputs'!$C$14,V$35:V$63)*'I1 General Inputs'!$A20</f>
        <v>0</v>
      </c>
      <c r="W72" s="18">
        <f>SUMIF($C$35:$C$63,$C72,W$35:W$63)-SUMIF($C$35:$C$63,'I1 General Inputs'!$C$14,W$35:W$63)*'I1 General Inputs'!$A20</f>
        <v>0</v>
      </c>
      <c r="X72" s="18">
        <f>SUMIF($C$35:$C$63,$C72,X$35:X$63)-SUMIF($C$35:$C$63,'I1 General Inputs'!$C$14,X$35:X$63)*'I1 General Inputs'!$A20</f>
        <v>-120000000</v>
      </c>
      <c r="Y72" s="18">
        <f>SUMIF($C$35:$C$63,$C72,Y$35:Y$63)-SUMIF($C$35:$C$63,'I1 General Inputs'!$C$14,Y$35:Y$63)*'I1 General Inputs'!$A20</f>
        <v>0</v>
      </c>
      <c r="Z72" s="18">
        <f>SUMIF($C$35:$C$63,$C72,Z$35:Z$63)-SUMIF($C$35:$C$63,'I1 General Inputs'!$C$14,Z$35:Z$63)*'I1 General Inputs'!$A20</f>
        <v>0</v>
      </c>
      <c r="AA72" s="18">
        <f>SUMIF($C$35:$C$63,$C72,AA$35:AA$63)-SUMIF($C$35:$C$63,'I1 General Inputs'!$C$14,AA$35:AA$63)*'I1 General Inputs'!$A20</f>
        <v>0</v>
      </c>
      <c r="AB72" s="18">
        <f>SUMIF($C$35:$C$63,$C72,AB$35:AB$63)-SUMIF($C$35:$C$63,'I1 General Inputs'!$C$14,AB$35:AB$63)*'I1 General Inputs'!$A20</f>
        <v>0</v>
      </c>
      <c r="AC72" s="18">
        <f>SUMIF($C$35:$C$63,$C72,AC$35:AC$63)-SUMIF($C$35:$C$63,'I1 General Inputs'!$C$14,AC$35:AC$63)*'I1 General Inputs'!$A20</f>
        <v>0</v>
      </c>
      <c r="AD72" s="18">
        <f>SUMIF($C$35:$C$63,$C72,AD$35:AD$63)-SUMIF($C$35:$C$63,'I1 General Inputs'!$C$14,AD$35:AD$63)*'I1 General Inputs'!$A20</f>
        <v>0</v>
      </c>
      <c r="AE72" s="18">
        <f>SUMIF($C$35:$C$63,$C72,AE$35:AE$63)-SUMIF($C$35:$C$63,'I1 General Inputs'!$C$14,AE$35:AE$63)*'I1 General Inputs'!$A20</f>
        <v>0</v>
      </c>
      <c r="AF72" s="18">
        <f>SUMIF($C$35:$C$63,$C72,AF$35:AF$63)-SUMIF($C$35:$C$63,'I1 General Inputs'!$C$14,AF$35:AF$63)*'I1 General Inputs'!$A20</f>
        <v>69320000</v>
      </c>
      <c r="AG72" s="18">
        <f>SUMIF($C$35:$C$63,$C72,AG$35:AG$63)-SUMIF($C$35:$C$63,'I1 General Inputs'!$C$14,AG$35:AG$63)*'I1 General Inputs'!$A20</f>
        <v>0</v>
      </c>
      <c r="AH72" s="18">
        <f>SUMIF($C$35:$C$63,$C72,AH$35:AH$63)-SUMIF($C$35:$C$63,'I1 General Inputs'!$C$14,AH$35:AH$63)*'I1 General Inputs'!$A20</f>
        <v>0</v>
      </c>
      <c r="AI72" s="18">
        <f>SUMIF($C$35:$C$63,$C72,AI$35:AI$63)-SUMIF($C$35:$C$63,'I1 General Inputs'!$C$14,AI$35:AI$63)*'I1 General Inputs'!$A20</f>
        <v>0</v>
      </c>
      <c r="AJ72" s="18">
        <f>SUMIF($C$35:$C$63,$C72,AJ$35:AJ$63)-SUMIF($C$35:$C$63,'I1 General Inputs'!$C$14,AJ$35:AJ$63)*'I1 General Inputs'!$A20</f>
        <v>0</v>
      </c>
    </row>
    <row r="74" spans="2:36" ht="15.75" x14ac:dyDescent="0.25">
      <c r="B74" s="5" t="str">
        <f>+'I2 CBA Inputs'!B28</f>
        <v>Operating and maintenance cost</v>
      </c>
      <c r="C74" s="30"/>
      <c r="D74" s="30"/>
      <c r="E74" s="12"/>
      <c r="F74" s="12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</row>
    <row r="75" spans="2:36" ht="15.75" x14ac:dyDescent="0.25">
      <c r="B75" s="7" t="s">
        <v>14</v>
      </c>
      <c r="C75" s="11" t="s">
        <v>13</v>
      </c>
      <c r="D75" s="11"/>
      <c r="E75" s="8" t="s">
        <v>22</v>
      </c>
      <c r="F75" s="8" t="s">
        <v>37</v>
      </c>
      <c r="G75" s="7">
        <f t="shared" ref="G75:AJ75" si="22">G$7</f>
        <v>2020</v>
      </c>
      <c r="H75" s="7">
        <f t="shared" si="22"/>
        <v>2021</v>
      </c>
      <c r="I75" s="7">
        <f t="shared" si="22"/>
        <v>2022</v>
      </c>
      <c r="J75" s="7">
        <f t="shared" si="22"/>
        <v>2023</v>
      </c>
      <c r="K75" s="7">
        <f t="shared" si="22"/>
        <v>2024</v>
      </c>
      <c r="L75" s="7">
        <f t="shared" si="22"/>
        <v>2025</v>
      </c>
      <c r="M75" s="7">
        <f t="shared" si="22"/>
        <v>2026</v>
      </c>
      <c r="N75" s="7">
        <f t="shared" si="22"/>
        <v>2027</v>
      </c>
      <c r="O75" s="7">
        <f t="shared" si="22"/>
        <v>2028</v>
      </c>
      <c r="P75" s="7">
        <f t="shared" si="22"/>
        <v>2029</v>
      </c>
      <c r="Q75" s="7">
        <f t="shared" si="22"/>
        <v>2030</v>
      </c>
      <c r="R75" s="7">
        <f t="shared" si="22"/>
        <v>2031</v>
      </c>
      <c r="S75" s="7">
        <f t="shared" si="22"/>
        <v>2032</v>
      </c>
      <c r="T75" s="7">
        <f t="shared" si="22"/>
        <v>2033</v>
      </c>
      <c r="U75" s="7">
        <f t="shared" si="22"/>
        <v>2034</v>
      </c>
      <c r="V75" s="7">
        <f t="shared" si="22"/>
        <v>2035</v>
      </c>
      <c r="W75" s="7">
        <f t="shared" si="22"/>
        <v>2036</v>
      </c>
      <c r="X75" s="7">
        <f t="shared" si="22"/>
        <v>2037</v>
      </c>
      <c r="Y75" s="7">
        <f t="shared" si="22"/>
        <v>2038</v>
      </c>
      <c r="Z75" s="7">
        <f t="shared" si="22"/>
        <v>2039</v>
      </c>
      <c r="AA75" s="7">
        <f t="shared" si="22"/>
        <v>2040</v>
      </c>
      <c r="AB75" s="7">
        <f t="shared" si="22"/>
        <v>2041</v>
      </c>
      <c r="AC75" s="7">
        <f t="shared" si="22"/>
        <v>2042</v>
      </c>
      <c r="AD75" s="7">
        <f t="shared" si="22"/>
        <v>2043</v>
      </c>
      <c r="AE75" s="7">
        <f t="shared" si="22"/>
        <v>2044</v>
      </c>
      <c r="AF75" s="7">
        <f t="shared" si="22"/>
        <v>2045</v>
      </c>
      <c r="AG75" s="7">
        <f t="shared" si="22"/>
        <v>0</v>
      </c>
      <c r="AH75" s="7">
        <f t="shared" si="22"/>
        <v>0</v>
      </c>
      <c r="AI75" s="7">
        <f t="shared" si="22"/>
        <v>0</v>
      </c>
      <c r="AJ75" s="7">
        <f t="shared" si="22"/>
        <v>0</v>
      </c>
    </row>
    <row r="76" spans="2:36" x14ac:dyDescent="0.2">
      <c r="B76" s="9">
        <f>+'I1 General Inputs'!$B$15</f>
        <v>1</v>
      </c>
      <c r="C76" s="15" t="str">
        <f>+'I1 General Inputs'!$C$15</f>
        <v>Option 1A</v>
      </c>
      <c r="D76" s="28"/>
      <c r="E76" s="13" t="s">
        <v>35</v>
      </c>
      <c r="F76" s="19">
        <f t="shared" ref="F76:F81" si="23">NPV(DiscountRate,G76:AJ76)/(1+DiscountRate)^(FirstYear-BaseYear-2)</f>
        <v>-22589879.628669944</v>
      </c>
      <c r="G76" s="18">
        <f>+('I2 CBA Inputs'!F$30-'I2 CBA Inputs'!F31)*'I2 CBA Inputs'!$A$9*IF(G$75=0,0,1)*'I1 General Inputs'!$A15</f>
        <v>0</v>
      </c>
      <c r="H76" s="18">
        <f>+('I2 CBA Inputs'!G$30-'I2 CBA Inputs'!G31)*'I2 CBA Inputs'!$A$9*IF(H$75=0,0,1)*'I1 General Inputs'!$A15</f>
        <v>0</v>
      </c>
      <c r="I76" s="18">
        <f>+('I2 CBA Inputs'!H$30-'I2 CBA Inputs'!H31)*'I2 CBA Inputs'!$A$9*IF(I$75=0,0,1)*'I1 General Inputs'!$A15</f>
        <v>0</v>
      </c>
      <c r="J76" s="18">
        <f>+('I2 CBA Inputs'!I$30-'I2 CBA Inputs'!I31)*'I2 CBA Inputs'!$A$9*IF(J$75=0,0,1)*'I1 General Inputs'!$A15</f>
        <v>-1751000</v>
      </c>
      <c r="K76" s="18">
        <f>+('I2 CBA Inputs'!J$30-'I2 CBA Inputs'!J31)*'I2 CBA Inputs'!$A$9*IF(K$75=0,0,1)*'I1 General Inputs'!$A15</f>
        <v>-1751000</v>
      </c>
      <c r="L76" s="18">
        <f>+('I2 CBA Inputs'!K$30-'I2 CBA Inputs'!K31)*'I2 CBA Inputs'!$A$9*IF(L$75=0,0,1)*'I1 General Inputs'!$A15</f>
        <v>-1751000</v>
      </c>
      <c r="M76" s="18">
        <f>+('I2 CBA Inputs'!L$30-'I2 CBA Inputs'!L31)*'I2 CBA Inputs'!$A$9*IF(M$75=0,0,1)*'I1 General Inputs'!$A15</f>
        <v>-1751000</v>
      </c>
      <c r="N76" s="18">
        <f>+('I2 CBA Inputs'!M$30-'I2 CBA Inputs'!M31)*'I2 CBA Inputs'!$A$9*IF(N$75=0,0,1)*'I1 General Inputs'!$A15</f>
        <v>-1751000</v>
      </c>
      <c r="O76" s="18">
        <f>+('I2 CBA Inputs'!N$30-'I2 CBA Inputs'!N31)*'I2 CBA Inputs'!$A$9*IF(O$75=0,0,1)*'I1 General Inputs'!$A15</f>
        <v>-1751000</v>
      </c>
      <c r="P76" s="18">
        <f>+('I2 CBA Inputs'!O$30-'I2 CBA Inputs'!O31)*'I2 CBA Inputs'!$A$9*IF(P$75=0,0,1)*'I1 General Inputs'!$A15</f>
        <v>-1751000</v>
      </c>
      <c r="Q76" s="18">
        <f>+('I2 CBA Inputs'!P$30-'I2 CBA Inputs'!P31)*'I2 CBA Inputs'!$A$9*IF(Q$75=0,0,1)*'I1 General Inputs'!$A15</f>
        <v>-1791000</v>
      </c>
      <c r="R76" s="18">
        <f>+('I2 CBA Inputs'!Q$30-'I2 CBA Inputs'!Q31)*'I2 CBA Inputs'!$A$9*IF(R$75=0,0,1)*'I1 General Inputs'!$A15</f>
        <v>-1751000</v>
      </c>
      <c r="S76" s="18">
        <f>+('I2 CBA Inputs'!R$30-'I2 CBA Inputs'!R31)*'I2 CBA Inputs'!$A$9*IF(S$75=0,0,1)*'I1 General Inputs'!$A15</f>
        <v>-1751000</v>
      </c>
      <c r="T76" s="18">
        <f>+('I2 CBA Inputs'!S$30-'I2 CBA Inputs'!S31)*'I2 CBA Inputs'!$A$9*IF(T$75=0,0,1)*'I1 General Inputs'!$A15</f>
        <v>-1751000</v>
      </c>
      <c r="U76" s="18">
        <f>+('I2 CBA Inputs'!T$30-'I2 CBA Inputs'!T31)*'I2 CBA Inputs'!$A$9*IF(U$75=0,0,1)*'I1 General Inputs'!$A15</f>
        <v>-1751000</v>
      </c>
      <c r="V76" s="18">
        <f>+('I2 CBA Inputs'!U$30-'I2 CBA Inputs'!U31)*'I2 CBA Inputs'!$A$9*IF(V$75=0,0,1)*'I1 General Inputs'!$A15</f>
        <v>-1751000</v>
      </c>
      <c r="W76" s="18">
        <f>+('I2 CBA Inputs'!V$30-'I2 CBA Inputs'!V31)*'I2 CBA Inputs'!$A$9*IF(W$75=0,0,1)*'I1 General Inputs'!$A15</f>
        <v>-1751000</v>
      </c>
      <c r="X76" s="18">
        <f>+('I2 CBA Inputs'!W$30-'I2 CBA Inputs'!W31)*'I2 CBA Inputs'!$A$9*IF(X$75=0,0,1)*'I1 General Inputs'!$A15</f>
        <v>-10151000</v>
      </c>
      <c r="Y76" s="18">
        <f>+('I2 CBA Inputs'!X$30-'I2 CBA Inputs'!X31)*'I2 CBA Inputs'!$A$9*IF(Y$75=0,0,1)*'I1 General Inputs'!$A15</f>
        <v>-1791000</v>
      </c>
      <c r="Z76" s="18">
        <f>+('I2 CBA Inputs'!Y$30-'I2 CBA Inputs'!Y31)*'I2 CBA Inputs'!$A$9*IF(Z$75=0,0,1)*'I1 General Inputs'!$A15</f>
        <v>-1751000</v>
      </c>
      <c r="AA76" s="18">
        <f>+('I2 CBA Inputs'!Z$30-'I2 CBA Inputs'!Z31)*'I2 CBA Inputs'!$A$9*IF(AA$75=0,0,1)*'I1 General Inputs'!$A15</f>
        <v>-1751000</v>
      </c>
      <c r="AB76" s="18">
        <f>+('I2 CBA Inputs'!AA$30-'I2 CBA Inputs'!AA31)*'I2 CBA Inputs'!$A$9*IF(AB$75=0,0,1)*'I1 General Inputs'!$A15</f>
        <v>-1751000</v>
      </c>
      <c r="AC76" s="18">
        <f>+('I2 CBA Inputs'!AB$30-'I2 CBA Inputs'!AB31)*'I2 CBA Inputs'!$A$9*IF(AC$75=0,0,1)*'I1 General Inputs'!$A15</f>
        <v>-1751000</v>
      </c>
      <c r="AD76" s="18">
        <f>+('I2 CBA Inputs'!AC$30-'I2 CBA Inputs'!AC31)*'I2 CBA Inputs'!$A$9*IF(AD$75=0,0,1)*'I1 General Inputs'!$A15</f>
        <v>-1751000</v>
      </c>
      <c r="AE76" s="18">
        <f>+('I2 CBA Inputs'!AD$30-'I2 CBA Inputs'!AD31)*'I2 CBA Inputs'!$A$9*IF(AE$75=0,0,1)*'I1 General Inputs'!$A15</f>
        <v>-1751000</v>
      </c>
      <c r="AF76" s="18">
        <f>+('I2 CBA Inputs'!AE$30-'I2 CBA Inputs'!AE31)*'I2 CBA Inputs'!$A$9*IF(AF$75=0,0,1)*'I1 General Inputs'!$A15</f>
        <v>-1751000</v>
      </c>
      <c r="AG76" s="18">
        <f>+('I2 CBA Inputs'!AF$30-'I2 CBA Inputs'!AF31)*'I2 CBA Inputs'!$A$9*IF(AG$75=0,0,1)*'I1 General Inputs'!$A15</f>
        <v>0</v>
      </c>
      <c r="AH76" s="18">
        <f>+('I2 CBA Inputs'!AG$30-'I2 CBA Inputs'!AG31)*'I2 CBA Inputs'!$A$9*IF(AH$75=0,0,1)*'I1 General Inputs'!$A15</f>
        <v>0</v>
      </c>
      <c r="AI76" s="18">
        <f>+('I2 CBA Inputs'!AH$30-'I2 CBA Inputs'!AH31)*'I2 CBA Inputs'!$A$9*IF(AI$75=0,0,1)*'I1 General Inputs'!$A15</f>
        <v>0</v>
      </c>
      <c r="AJ76" s="18">
        <f>+('I2 CBA Inputs'!AI$30-'I2 CBA Inputs'!AI31)*'I2 CBA Inputs'!$A$9*IF(AJ$75=0,0,1)*'I1 General Inputs'!$A15</f>
        <v>0</v>
      </c>
    </row>
    <row r="77" spans="2:36" x14ac:dyDescent="0.2">
      <c r="B77" s="9">
        <f>+'I1 General Inputs'!$B$16</f>
        <v>2</v>
      </c>
      <c r="C77" s="15" t="str">
        <f>+'I1 General Inputs'!$C$16</f>
        <v>Option 1B</v>
      </c>
      <c r="D77" s="28"/>
      <c r="E77" s="13" t="s">
        <v>35</v>
      </c>
      <c r="F77" s="19">
        <f t="shared" si="23"/>
        <v>-3708371.6782973711</v>
      </c>
      <c r="G77" s="18">
        <f>+('I2 CBA Inputs'!F$30-'I2 CBA Inputs'!F32)*'I2 CBA Inputs'!$A$9*IF(G$75=0,0,1)*'I1 General Inputs'!$A16</f>
        <v>0</v>
      </c>
      <c r="H77" s="18">
        <f>+('I2 CBA Inputs'!G$30-'I2 CBA Inputs'!G32)*'I2 CBA Inputs'!$A$9*IF(H$75=0,0,1)*'I1 General Inputs'!$A16</f>
        <v>0</v>
      </c>
      <c r="I77" s="18">
        <f>+('I2 CBA Inputs'!H$30-'I2 CBA Inputs'!H32)*'I2 CBA Inputs'!$A$9*IF(I$75=0,0,1)*'I1 General Inputs'!$A16</f>
        <v>0</v>
      </c>
      <c r="J77" s="18">
        <f>+('I2 CBA Inputs'!I$30-'I2 CBA Inputs'!I32)*'I2 CBA Inputs'!$A$9*IF(J$75=0,0,1)*'I1 General Inputs'!$A16</f>
        <v>-335000</v>
      </c>
      <c r="K77" s="18">
        <f>+('I2 CBA Inputs'!J$30-'I2 CBA Inputs'!J32)*'I2 CBA Inputs'!$A$9*IF(K$75=0,0,1)*'I1 General Inputs'!$A16</f>
        <v>-335000</v>
      </c>
      <c r="L77" s="18">
        <f>+('I2 CBA Inputs'!K$30-'I2 CBA Inputs'!K32)*'I2 CBA Inputs'!$A$9*IF(L$75=0,0,1)*'I1 General Inputs'!$A16</f>
        <v>-335000</v>
      </c>
      <c r="M77" s="18">
        <f>+('I2 CBA Inputs'!L$30-'I2 CBA Inputs'!L32)*'I2 CBA Inputs'!$A$9*IF(M$75=0,0,1)*'I1 General Inputs'!$A16</f>
        <v>-335000</v>
      </c>
      <c r="N77" s="18">
        <f>+('I2 CBA Inputs'!M$30-'I2 CBA Inputs'!M32)*'I2 CBA Inputs'!$A$9*IF(N$75=0,0,1)*'I1 General Inputs'!$A16</f>
        <v>-335000</v>
      </c>
      <c r="O77" s="18">
        <f>+('I2 CBA Inputs'!N$30-'I2 CBA Inputs'!N32)*'I2 CBA Inputs'!$A$9*IF(O$75=0,0,1)*'I1 General Inputs'!$A16</f>
        <v>-335000</v>
      </c>
      <c r="P77" s="18">
        <f>+('I2 CBA Inputs'!O$30-'I2 CBA Inputs'!O32)*'I2 CBA Inputs'!$A$9*IF(P$75=0,0,1)*'I1 General Inputs'!$A16</f>
        <v>-335000</v>
      </c>
      <c r="Q77" s="18">
        <f>+('I2 CBA Inputs'!P$30-'I2 CBA Inputs'!P32)*'I2 CBA Inputs'!$A$9*IF(Q$75=0,0,1)*'I1 General Inputs'!$A16</f>
        <v>-335000</v>
      </c>
      <c r="R77" s="18">
        <f>+('I2 CBA Inputs'!Q$30-'I2 CBA Inputs'!Q32)*'I2 CBA Inputs'!$A$9*IF(R$75=0,0,1)*'I1 General Inputs'!$A16</f>
        <v>-335000</v>
      </c>
      <c r="S77" s="18">
        <f>+('I2 CBA Inputs'!R$30-'I2 CBA Inputs'!R32)*'I2 CBA Inputs'!$A$9*IF(S$75=0,0,1)*'I1 General Inputs'!$A16</f>
        <v>-335000</v>
      </c>
      <c r="T77" s="18">
        <f>+('I2 CBA Inputs'!S$30-'I2 CBA Inputs'!S32)*'I2 CBA Inputs'!$A$9*IF(T$75=0,0,1)*'I1 General Inputs'!$A16</f>
        <v>-335000</v>
      </c>
      <c r="U77" s="18">
        <f>+('I2 CBA Inputs'!T$30-'I2 CBA Inputs'!T32)*'I2 CBA Inputs'!$A$9*IF(U$75=0,0,1)*'I1 General Inputs'!$A16</f>
        <v>-335000</v>
      </c>
      <c r="V77" s="18">
        <f>+('I2 CBA Inputs'!U$30-'I2 CBA Inputs'!U32)*'I2 CBA Inputs'!$A$9*IF(V$75=0,0,1)*'I1 General Inputs'!$A16</f>
        <v>-335000</v>
      </c>
      <c r="W77" s="18">
        <f>+('I2 CBA Inputs'!V$30-'I2 CBA Inputs'!V32)*'I2 CBA Inputs'!$A$9*IF(W$75=0,0,1)*'I1 General Inputs'!$A16</f>
        <v>-335000</v>
      </c>
      <c r="X77" s="18">
        <f>+('I2 CBA Inputs'!W$30-'I2 CBA Inputs'!W32)*'I2 CBA Inputs'!$A$9*IF(X$75=0,0,1)*'I1 General Inputs'!$A16</f>
        <v>-335000</v>
      </c>
      <c r="Y77" s="18">
        <f>+('I2 CBA Inputs'!X$30-'I2 CBA Inputs'!X32)*'I2 CBA Inputs'!$A$9*IF(Y$75=0,0,1)*'I1 General Inputs'!$A16</f>
        <v>-335000</v>
      </c>
      <c r="Z77" s="18">
        <f>+('I2 CBA Inputs'!Y$30-'I2 CBA Inputs'!Y32)*'I2 CBA Inputs'!$A$9*IF(Z$75=0,0,1)*'I1 General Inputs'!$A16</f>
        <v>-335000</v>
      </c>
      <c r="AA77" s="18">
        <f>+('I2 CBA Inputs'!Z$30-'I2 CBA Inputs'!Z32)*'I2 CBA Inputs'!$A$9*IF(AA$75=0,0,1)*'I1 General Inputs'!$A16</f>
        <v>-335000</v>
      </c>
      <c r="AB77" s="18">
        <f>+('I2 CBA Inputs'!AA$30-'I2 CBA Inputs'!AA32)*'I2 CBA Inputs'!$A$9*IF(AB$75=0,0,1)*'I1 General Inputs'!$A16</f>
        <v>-335000</v>
      </c>
      <c r="AC77" s="18">
        <f>+('I2 CBA Inputs'!AB$30-'I2 CBA Inputs'!AB32)*'I2 CBA Inputs'!$A$9*IF(AC$75=0,0,1)*'I1 General Inputs'!$A16</f>
        <v>-335000</v>
      </c>
      <c r="AD77" s="18">
        <f>+('I2 CBA Inputs'!AC$30-'I2 CBA Inputs'!AC32)*'I2 CBA Inputs'!$A$9*IF(AD$75=0,0,1)*'I1 General Inputs'!$A16</f>
        <v>-335000</v>
      </c>
      <c r="AE77" s="18">
        <f>+('I2 CBA Inputs'!AD$30-'I2 CBA Inputs'!AD32)*'I2 CBA Inputs'!$A$9*IF(AE$75=0,0,1)*'I1 General Inputs'!$A16</f>
        <v>-335000</v>
      </c>
      <c r="AF77" s="18">
        <f>+('I2 CBA Inputs'!AE$30-'I2 CBA Inputs'!AE32)*'I2 CBA Inputs'!$A$9*IF(AF$75=0,0,1)*'I1 General Inputs'!$A16</f>
        <v>-335000</v>
      </c>
      <c r="AG77" s="18">
        <f>+('I2 CBA Inputs'!AF$30-'I2 CBA Inputs'!AF32)*'I2 CBA Inputs'!$A$9*IF(AG$75=0,0,1)*'I1 General Inputs'!$A16</f>
        <v>0</v>
      </c>
      <c r="AH77" s="18">
        <f>+('I2 CBA Inputs'!AG$30-'I2 CBA Inputs'!AG32)*'I2 CBA Inputs'!$A$9*IF(AH$75=0,0,1)*'I1 General Inputs'!$A16</f>
        <v>0</v>
      </c>
      <c r="AI77" s="18">
        <f>+('I2 CBA Inputs'!AH$30-'I2 CBA Inputs'!AH32)*'I2 CBA Inputs'!$A$9*IF(AI$75=0,0,1)*'I1 General Inputs'!$A16</f>
        <v>0</v>
      </c>
      <c r="AJ77" s="18">
        <f>+('I2 CBA Inputs'!AI$30-'I2 CBA Inputs'!AI32)*'I2 CBA Inputs'!$A$9*IF(AJ$75=0,0,1)*'I1 General Inputs'!$A16</f>
        <v>0</v>
      </c>
    </row>
    <row r="78" spans="2:36" x14ac:dyDescent="0.2">
      <c r="B78" s="9">
        <f>+'I1 General Inputs'!$B$17</f>
        <v>3</v>
      </c>
      <c r="C78" s="15" t="str">
        <f>+'I1 General Inputs'!$C$17</f>
        <v>Option 1C</v>
      </c>
      <c r="D78" s="28"/>
      <c r="E78" s="13" t="s">
        <v>35</v>
      </c>
      <c r="F78" s="19">
        <f t="shared" si="23"/>
        <v>-18881507.95037258</v>
      </c>
      <c r="G78" s="18">
        <f>+('I2 CBA Inputs'!F$30-'I2 CBA Inputs'!F33)*'I2 CBA Inputs'!$A$9*IF(G$75=0,0,1)*'I1 General Inputs'!$A17</f>
        <v>0</v>
      </c>
      <c r="H78" s="18">
        <f>+('I2 CBA Inputs'!G$30-'I2 CBA Inputs'!G33)*'I2 CBA Inputs'!$A$9*IF(H$75=0,0,1)*'I1 General Inputs'!$A17</f>
        <v>0</v>
      </c>
      <c r="I78" s="18">
        <f>+('I2 CBA Inputs'!H$30-'I2 CBA Inputs'!H33)*'I2 CBA Inputs'!$A$9*IF(I$75=0,0,1)*'I1 General Inputs'!$A17</f>
        <v>0</v>
      </c>
      <c r="J78" s="18">
        <f>+('I2 CBA Inputs'!I$30-'I2 CBA Inputs'!I33)*'I2 CBA Inputs'!$A$9*IF(J$75=0,0,1)*'I1 General Inputs'!$A17</f>
        <v>-1416000</v>
      </c>
      <c r="K78" s="18">
        <f>+('I2 CBA Inputs'!J$30-'I2 CBA Inputs'!J33)*'I2 CBA Inputs'!$A$9*IF(K$75=0,0,1)*'I1 General Inputs'!$A17</f>
        <v>-1416000</v>
      </c>
      <c r="L78" s="18">
        <f>+('I2 CBA Inputs'!K$30-'I2 CBA Inputs'!K33)*'I2 CBA Inputs'!$A$9*IF(L$75=0,0,1)*'I1 General Inputs'!$A17</f>
        <v>-1416000</v>
      </c>
      <c r="M78" s="18">
        <f>+('I2 CBA Inputs'!L$30-'I2 CBA Inputs'!L33)*'I2 CBA Inputs'!$A$9*IF(M$75=0,0,1)*'I1 General Inputs'!$A17</f>
        <v>-1416000</v>
      </c>
      <c r="N78" s="18">
        <f>+('I2 CBA Inputs'!M$30-'I2 CBA Inputs'!M33)*'I2 CBA Inputs'!$A$9*IF(N$75=0,0,1)*'I1 General Inputs'!$A17</f>
        <v>-1416000</v>
      </c>
      <c r="O78" s="18">
        <f>+('I2 CBA Inputs'!N$30-'I2 CBA Inputs'!N33)*'I2 CBA Inputs'!$A$9*IF(O$75=0,0,1)*'I1 General Inputs'!$A17</f>
        <v>-1416000</v>
      </c>
      <c r="P78" s="18">
        <f>+('I2 CBA Inputs'!O$30-'I2 CBA Inputs'!O33)*'I2 CBA Inputs'!$A$9*IF(P$75=0,0,1)*'I1 General Inputs'!$A17</f>
        <v>-1416000</v>
      </c>
      <c r="Q78" s="18">
        <f>+('I2 CBA Inputs'!P$30-'I2 CBA Inputs'!P33)*'I2 CBA Inputs'!$A$9*IF(Q$75=0,0,1)*'I1 General Inputs'!$A17</f>
        <v>-1456000</v>
      </c>
      <c r="R78" s="18">
        <f>+('I2 CBA Inputs'!Q$30-'I2 CBA Inputs'!Q33)*'I2 CBA Inputs'!$A$9*IF(R$75=0,0,1)*'I1 General Inputs'!$A17</f>
        <v>-1416000</v>
      </c>
      <c r="S78" s="18">
        <f>+('I2 CBA Inputs'!R$30-'I2 CBA Inputs'!R33)*'I2 CBA Inputs'!$A$9*IF(S$75=0,0,1)*'I1 General Inputs'!$A17</f>
        <v>-1416000</v>
      </c>
      <c r="T78" s="18">
        <f>+('I2 CBA Inputs'!S$30-'I2 CBA Inputs'!S33)*'I2 CBA Inputs'!$A$9*IF(T$75=0,0,1)*'I1 General Inputs'!$A17</f>
        <v>-1416000</v>
      </c>
      <c r="U78" s="18">
        <f>+('I2 CBA Inputs'!T$30-'I2 CBA Inputs'!T33)*'I2 CBA Inputs'!$A$9*IF(U$75=0,0,1)*'I1 General Inputs'!$A17</f>
        <v>-1416000</v>
      </c>
      <c r="V78" s="18">
        <f>+('I2 CBA Inputs'!U$30-'I2 CBA Inputs'!U33)*'I2 CBA Inputs'!$A$9*IF(V$75=0,0,1)*'I1 General Inputs'!$A17</f>
        <v>-1416000</v>
      </c>
      <c r="W78" s="18">
        <f>+('I2 CBA Inputs'!V$30-'I2 CBA Inputs'!V33)*'I2 CBA Inputs'!$A$9*IF(W$75=0,0,1)*'I1 General Inputs'!$A17</f>
        <v>-1416000</v>
      </c>
      <c r="X78" s="18">
        <f>+('I2 CBA Inputs'!W$30-'I2 CBA Inputs'!W33)*'I2 CBA Inputs'!$A$9*IF(X$75=0,0,1)*'I1 General Inputs'!$A17</f>
        <v>-9816000</v>
      </c>
      <c r="Y78" s="18">
        <f>+('I2 CBA Inputs'!X$30-'I2 CBA Inputs'!X33)*'I2 CBA Inputs'!$A$9*IF(Y$75=0,0,1)*'I1 General Inputs'!$A17</f>
        <v>-1456000</v>
      </c>
      <c r="Z78" s="18">
        <f>+('I2 CBA Inputs'!Y$30-'I2 CBA Inputs'!Y33)*'I2 CBA Inputs'!$A$9*IF(Z$75=0,0,1)*'I1 General Inputs'!$A17</f>
        <v>-1416000</v>
      </c>
      <c r="AA78" s="18">
        <f>+('I2 CBA Inputs'!Z$30-'I2 CBA Inputs'!Z33)*'I2 CBA Inputs'!$A$9*IF(AA$75=0,0,1)*'I1 General Inputs'!$A17</f>
        <v>-1416000</v>
      </c>
      <c r="AB78" s="18">
        <f>+('I2 CBA Inputs'!AA$30-'I2 CBA Inputs'!AA33)*'I2 CBA Inputs'!$A$9*IF(AB$75=0,0,1)*'I1 General Inputs'!$A17</f>
        <v>-1416000</v>
      </c>
      <c r="AC78" s="18">
        <f>+('I2 CBA Inputs'!AB$30-'I2 CBA Inputs'!AB33)*'I2 CBA Inputs'!$A$9*IF(AC$75=0,0,1)*'I1 General Inputs'!$A17</f>
        <v>-1416000</v>
      </c>
      <c r="AD78" s="18">
        <f>+('I2 CBA Inputs'!AC$30-'I2 CBA Inputs'!AC33)*'I2 CBA Inputs'!$A$9*IF(AD$75=0,0,1)*'I1 General Inputs'!$A17</f>
        <v>-1416000</v>
      </c>
      <c r="AE78" s="18">
        <f>+('I2 CBA Inputs'!AD$30-'I2 CBA Inputs'!AD33)*'I2 CBA Inputs'!$A$9*IF(AE$75=0,0,1)*'I1 General Inputs'!$A17</f>
        <v>-1416000</v>
      </c>
      <c r="AF78" s="18">
        <f>+('I2 CBA Inputs'!AE$30-'I2 CBA Inputs'!AE33)*'I2 CBA Inputs'!$A$9*IF(AF$75=0,0,1)*'I1 General Inputs'!$A17</f>
        <v>-1416000</v>
      </c>
      <c r="AG78" s="18">
        <f>+('I2 CBA Inputs'!AF$30-'I2 CBA Inputs'!AF33)*'I2 CBA Inputs'!$A$9*IF(AG$75=0,0,1)*'I1 General Inputs'!$A17</f>
        <v>0</v>
      </c>
      <c r="AH78" s="18">
        <f>+('I2 CBA Inputs'!AG$30-'I2 CBA Inputs'!AG33)*'I2 CBA Inputs'!$A$9*IF(AH$75=0,0,1)*'I1 General Inputs'!$A17</f>
        <v>0</v>
      </c>
      <c r="AI78" s="18">
        <f>+('I2 CBA Inputs'!AH$30-'I2 CBA Inputs'!AH33)*'I2 CBA Inputs'!$A$9*IF(AI$75=0,0,1)*'I1 General Inputs'!$A17</f>
        <v>0</v>
      </c>
      <c r="AJ78" s="18">
        <f>+('I2 CBA Inputs'!AI$30-'I2 CBA Inputs'!AI33)*'I2 CBA Inputs'!$A$9*IF(AJ$75=0,0,1)*'I1 General Inputs'!$A17</f>
        <v>0</v>
      </c>
    </row>
    <row r="79" spans="2:36" x14ac:dyDescent="0.2">
      <c r="B79" s="9">
        <f>+'I1 General Inputs'!$B$18</f>
        <v>4</v>
      </c>
      <c r="C79" s="15" t="str">
        <f>+'I1 General Inputs'!$C$18</f>
        <v>Option 1D</v>
      </c>
      <c r="D79" s="28"/>
      <c r="E79" s="13" t="s">
        <v>35</v>
      </c>
      <c r="F79" s="19">
        <f t="shared" si="23"/>
        <v>-4981394.7917427355</v>
      </c>
      <c r="G79" s="18">
        <f>+('I2 CBA Inputs'!F$30-'I2 CBA Inputs'!F34)*'I2 CBA Inputs'!$A$9*IF(G$75=0,0,1)*'I1 General Inputs'!$A18</f>
        <v>0</v>
      </c>
      <c r="H79" s="18">
        <f>+('I2 CBA Inputs'!G$30-'I2 CBA Inputs'!G34)*'I2 CBA Inputs'!$A$9*IF(H$75=0,0,1)*'I1 General Inputs'!$A18</f>
        <v>0</v>
      </c>
      <c r="I79" s="18">
        <f>+('I2 CBA Inputs'!H$30-'I2 CBA Inputs'!H34)*'I2 CBA Inputs'!$A$9*IF(I$75=0,0,1)*'I1 General Inputs'!$A18</f>
        <v>0</v>
      </c>
      <c r="J79" s="18">
        <f>+('I2 CBA Inputs'!I$30-'I2 CBA Inputs'!I34)*'I2 CBA Inputs'!$A$9*IF(J$75=0,0,1)*'I1 General Inputs'!$A18</f>
        <v>-450000</v>
      </c>
      <c r="K79" s="18">
        <f>+('I2 CBA Inputs'!J$30-'I2 CBA Inputs'!J34)*'I2 CBA Inputs'!$A$9*IF(K$75=0,0,1)*'I1 General Inputs'!$A18</f>
        <v>-450000</v>
      </c>
      <c r="L79" s="18">
        <f>+('I2 CBA Inputs'!K$30-'I2 CBA Inputs'!K34)*'I2 CBA Inputs'!$A$9*IF(L$75=0,0,1)*'I1 General Inputs'!$A18</f>
        <v>-450000</v>
      </c>
      <c r="M79" s="18">
        <f>+('I2 CBA Inputs'!L$30-'I2 CBA Inputs'!L34)*'I2 CBA Inputs'!$A$9*IF(M$75=0,0,1)*'I1 General Inputs'!$A18</f>
        <v>-450000</v>
      </c>
      <c r="N79" s="18">
        <f>+('I2 CBA Inputs'!M$30-'I2 CBA Inputs'!M34)*'I2 CBA Inputs'!$A$9*IF(N$75=0,0,1)*'I1 General Inputs'!$A18</f>
        <v>-450000</v>
      </c>
      <c r="O79" s="18">
        <f>+('I2 CBA Inputs'!N$30-'I2 CBA Inputs'!N34)*'I2 CBA Inputs'!$A$9*IF(O$75=0,0,1)*'I1 General Inputs'!$A18</f>
        <v>-450000</v>
      </c>
      <c r="P79" s="18">
        <f>+('I2 CBA Inputs'!O$30-'I2 CBA Inputs'!O34)*'I2 CBA Inputs'!$A$9*IF(P$75=0,0,1)*'I1 General Inputs'!$A18</f>
        <v>-450000</v>
      </c>
      <c r="Q79" s="18">
        <f>+('I2 CBA Inputs'!P$30-'I2 CBA Inputs'!P34)*'I2 CBA Inputs'!$A$9*IF(Q$75=0,0,1)*'I1 General Inputs'!$A18</f>
        <v>-450000</v>
      </c>
      <c r="R79" s="18">
        <f>+('I2 CBA Inputs'!Q$30-'I2 CBA Inputs'!Q34)*'I2 CBA Inputs'!$A$9*IF(R$75=0,0,1)*'I1 General Inputs'!$A18</f>
        <v>-450000</v>
      </c>
      <c r="S79" s="18">
        <f>+('I2 CBA Inputs'!R$30-'I2 CBA Inputs'!R34)*'I2 CBA Inputs'!$A$9*IF(S$75=0,0,1)*'I1 General Inputs'!$A18</f>
        <v>-450000</v>
      </c>
      <c r="T79" s="18">
        <f>+('I2 CBA Inputs'!S$30-'I2 CBA Inputs'!S34)*'I2 CBA Inputs'!$A$9*IF(T$75=0,0,1)*'I1 General Inputs'!$A18</f>
        <v>-450000</v>
      </c>
      <c r="U79" s="18">
        <f>+('I2 CBA Inputs'!T$30-'I2 CBA Inputs'!T34)*'I2 CBA Inputs'!$A$9*IF(U$75=0,0,1)*'I1 General Inputs'!$A18</f>
        <v>-450000</v>
      </c>
      <c r="V79" s="18">
        <f>+('I2 CBA Inputs'!U$30-'I2 CBA Inputs'!U34)*'I2 CBA Inputs'!$A$9*IF(V$75=0,0,1)*'I1 General Inputs'!$A18</f>
        <v>-450000</v>
      </c>
      <c r="W79" s="18">
        <f>+('I2 CBA Inputs'!V$30-'I2 CBA Inputs'!V34)*'I2 CBA Inputs'!$A$9*IF(W$75=0,0,1)*'I1 General Inputs'!$A18</f>
        <v>-450000</v>
      </c>
      <c r="X79" s="18">
        <f>+('I2 CBA Inputs'!W$30-'I2 CBA Inputs'!W34)*'I2 CBA Inputs'!$A$9*IF(X$75=0,0,1)*'I1 General Inputs'!$A18</f>
        <v>-450000</v>
      </c>
      <c r="Y79" s="18">
        <f>+('I2 CBA Inputs'!X$30-'I2 CBA Inputs'!X34)*'I2 CBA Inputs'!$A$9*IF(Y$75=0,0,1)*'I1 General Inputs'!$A18</f>
        <v>-450000</v>
      </c>
      <c r="Z79" s="18">
        <f>+('I2 CBA Inputs'!Y$30-'I2 CBA Inputs'!Y34)*'I2 CBA Inputs'!$A$9*IF(Z$75=0,0,1)*'I1 General Inputs'!$A18</f>
        <v>-450000</v>
      </c>
      <c r="AA79" s="18">
        <f>+('I2 CBA Inputs'!Z$30-'I2 CBA Inputs'!Z34)*'I2 CBA Inputs'!$A$9*IF(AA$75=0,0,1)*'I1 General Inputs'!$A18</f>
        <v>-450000</v>
      </c>
      <c r="AB79" s="18">
        <f>+('I2 CBA Inputs'!AA$30-'I2 CBA Inputs'!AA34)*'I2 CBA Inputs'!$A$9*IF(AB$75=0,0,1)*'I1 General Inputs'!$A18</f>
        <v>-450000</v>
      </c>
      <c r="AC79" s="18">
        <f>+('I2 CBA Inputs'!AB$30-'I2 CBA Inputs'!AB34)*'I2 CBA Inputs'!$A$9*IF(AC$75=0,0,1)*'I1 General Inputs'!$A18</f>
        <v>-450000</v>
      </c>
      <c r="AD79" s="18">
        <f>+('I2 CBA Inputs'!AC$30-'I2 CBA Inputs'!AC34)*'I2 CBA Inputs'!$A$9*IF(AD$75=0,0,1)*'I1 General Inputs'!$A18</f>
        <v>-450000</v>
      </c>
      <c r="AE79" s="18">
        <f>+('I2 CBA Inputs'!AD$30-'I2 CBA Inputs'!AD34)*'I2 CBA Inputs'!$A$9*IF(AE$75=0,0,1)*'I1 General Inputs'!$A18</f>
        <v>-450000</v>
      </c>
      <c r="AF79" s="18">
        <f>+('I2 CBA Inputs'!AE$30-'I2 CBA Inputs'!AE34)*'I2 CBA Inputs'!$A$9*IF(AF$75=0,0,1)*'I1 General Inputs'!$A18</f>
        <v>-450000</v>
      </c>
      <c r="AG79" s="18">
        <f>+('I2 CBA Inputs'!AF$30-'I2 CBA Inputs'!AF34)*'I2 CBA Inputs'!$A$9*IF(AG$75=0,0,1)*'I1 General Inputs'!$A18</f>
        <v>0</v>
      </c>
      <c r="AH79" s="18">
        <f>+('I2 CBA Inputs'!AG$30-'I2 CBA Inputs'!AG34)*'I2 CBA Inputs'!$A$9*IF(AH$75=0,0,1)*'I1 General Inputs'!$A18</f>
        <v>0</v>
      </c>
      <c r="AI79" s="18">
        <f>+('I2 CBA Inputs'!AH$30-'I2 CBA Inputs'!AH34)*'I2 CBA Inputs'!$A$9*IF(AI$75=0,0,1)*'I1 General Inputs'!$A18</f>
        <v>0</v>
      </c>
      <c r="AJ79" s="18">
        <f>+('I2 CBA Inputs'!AI$30-'I2 CBA Inputs'!AI34)*'I2 CBA Inputs'!$A$9*IF(AJ$75=0,0,1)*'I1 General Inputs'!$A18</f>
        <v>0</v>
      </c>
    </row>
    <row r="80" spans="2:36" x14ac:dyDescent="0.2">
      <c r="B80" s="9">
        <f>+'I1 General Inputs'!$B$19</f>
        <v>5</v>
      </c>
      <c r="C80" s="15" t="str">
        <f>+'I1 General Inputs'!$C$19</f>
        <v>Option 5A</v>
      </c>
      <c r="D80" s="28"/>
      <c r="E80" s="13" t="s">
        <v>35</v>
      </c>
      <c r="F80" s="19">
        <f t="shared" si="23"/>
        <v>-8687143.2356444057</v>
      </c>
      <c r="G80" s="18">
        <f>+('I2 CBA Inputs'!F$30-'I2 CBA Inputs'!F35)*'I2 CBA Inputs'!$A$9*IF(G$75=0,0,1)*'I1 General Inputs'!$A19</f>
        <v>0</v>
      </c>
      <c r="H80" s="18">
        <f>+('I2 CBA Inputs'!G$30-'I2 CBA Inputs'!G35)*'I2 CBA Inputs'!$A$9*IF(H$75=0,0,1)*'I1 General Inputs'!$A19</f>
        <v>0</v>
      </c>
      <c r="I80" s="18">
        <f>+('I2 CBA Inputs'!H$30-'I2 CBA Inputs'!H35)*'I2 CBA Inputs'!$A$9*IF(I$75=0,0,1)*'I1 General Inputs'!$A19</f>
        <v>0</v>
      </c>
      <c r="J80" s="18">
        <f>+('I2 CBA Inputs'!I$30-'I2 CBA Inputs'!I35)*'I2 CBA Inputs'!$A$9*IF(J$75=0,0,1)*'I1 General Inputs'!$A19</f>
        <v>-860000</v>
      </c>
      <c r="K80" s="18">
        <f>+('I2 CBA Inputs'!J$30-'I2 CBA Inputs'!J35)*'I2 CBA Inputs'!$A$9*IF(K$75=0,0,1)*'I1 General Inputs'!$A19</f>
        <v>-860000</v>
      </c>
      <c r="L80" s="18">
        <f>+('I2 CBA Inputs'!K$30-'I2 CBA Inputs'!K35)*'I2 CBA Inputs'!$A$9*IF(L$75=0,0,1)*'I1 General Inputs'!$A19</f>
        <v>-860000</v>
      </c>
      <c r="M80" s="18">
        <f>+('I2 CBA Inputs'!L$30-'I2 CBA Inputs'!L35)*'I2 CBA Inputs'!$A$9*IF(M$75=0,0,1)*'I1 General Inputs'!$A19</f>
        <v>-860000</v>
      </c>
      <c r="N80" s="18">
        <f>+('I2 CBA Inputs'!M$30-'I2 CBA Inputs'!M35)*'I2 CBA Inputs'!$A$9*IF(N$75=0,0,1)*'I1 General Inputs'!$A19</f>
        <v>-860000</v>
      </c>
      <c r="O80" s="18">
        <f>+('I2 CBA Inputs'!N$30-'I2 CBA Inputs'!N35)*'I2 CBA Inputs'!$A$9*IF(O$75=0,0,1)*'I1 General Inputs'!$A19</f>
        <v>-860000</v>
      </c>
      <c r="P80" s="18">
        <f>+('I2 CBA Inputs'!O$30-'I2 CBA Inputs'!O35)*'I2 CBA Inputs'!$A$9*IF(P$75=0,0,1)*'I1 General Inputs'!$A19</f>
        <v>-860000</v>
      </c>
      <c r="Q80" s="18">
        <f>+('I2 CBA Inputs'!P$30-'I2 CBA Inputs'!P35)*'I2 CBA Inputs'!$A$9*IF(Q$75=0,0,1)*'I1 General Inputs'!$A19</f>
        <v>-860000</v>
      </c>
      <c r="R80" s="18">
        <f>+('I2 CBA Inputs'!Q$30-'I2 CBA Inputs'!Q35)*'I2 CBA Inputs'!$A$9*IF(R$75=0,0,1)*'I1 General Inputs'!$A19</f>
        <v>-860000</v>
      </c>
      <c r="S80" s="18">
        <f>+('I2 CBA Inputs'!R$30-'I2 CBA Inputs'!R35)*'I2 CBA Inputs'!$A$9*IF(S$75=0,0,1)*'I1 General Inputs'!$A19</f>
        <v>-860000</v>
      </c>
      <c r="T80" s="18">
        <f>+('I2 CBA Inputs'!S$30-'I2 CBA Inputs'!S35)*'I2 CBA Inputs'!$A$9*IF(T$75=0,0,1)*'I1 General Inputs'!$A19</f>
        <v>-860000</v>
      </c>
      <c r="U80" s="18">
        <f>+('I2 CBA Inputs'!T$30-'I2 CBA Inputs'!T35)*'I2 CBA Inputs'!$A$9*IF(U$75=0,0,1)*'I1 General Inputs'!$A19</f>
        <v>-860000</v>
      </c>
      <c r="V80" s="18">
        <f>+('I2 CBA Inputs'!U$30-'I2 CBA Inputs'!U35)*'I2 CBA Inputs'!$A$9*IF(V$75=0,0,1)*'I1 General Inputs'!$A19</f>
        <v>-860000</v>
      </c>
      <c r="W80" s="18">
        <f>+('I2 CBA Inputs'!V$30-'I2 CBA Inputs'!V35)*'I2 CBA Inputs'!$A$9*IF(W$75=0,0,1)*'I1 General Inputs'!$A19</f>
        <v>-860000</v>
      </c>
      <c r="X80" s="18">
        <f>+('I2 CBA Inputs'!W$30-'I2 CBA Inputs'!W35)*'I2 CBA Inputs'!$A$9*IF(X$75=0,0,1)*'I1 General Inputs'!$A19</f>
        <v>-860000</v>
      </c>
      <c r="Y80" s="18">
        <f>+('I2 CBA Inputs'!X$30-'I2 CBA Inputs'!X35)*'I2 CBA Inputs'!$A$9*IF(Y$75=0,0,1)*'I1 General Inputs'!$A19</f>
        <v>-506000</v>
      </c>
      <c r="Z80" s="18">
        <f>+('I2 CBA Inputs'!Y$30-'I2 CBA Inputs'!Y35)*'I2 CBA Inputs'!$A$9*IF(Z$75=0,0,1)*'I1 General Inputs'!$A19</f>
        <v>-506000</v>
      </c>
      <c r="AA80" s="18">
        <f>+('I2 CBA Inputs'!Z$30-'I2 CBA Inputs'!Z35)*'I2 CBA Inputs'!$A$9*IF(AA$75=0,0,1)*'I1 General Inputs'!$A19</f>
        <v>-506000</v>
      </c>
      <c r="AB80" s="18">
        <f>+('I2 CBA Inputs'!AA$30-'I2 CBA Inputs'!AA35)*'I2 CBA Inputs'!$A$9*IF(AB$75=0,0,1)*'I1 General Inputs'!$A19</f>
        <v>-506000</v>
      </c>
      <c r="AC80" s="18">
        <f>+('I2 CBA Inputs'!AB$30-'I2 CBA Inputs'!AB35)*'I2 CBA Inputs'!$A$9*IF(AC$75=0,0,1)*'I1 General Inputs'!$A19</f>
        <v>-506000</v>
      </c>
      <c r="AD80" s="18">
        <f>+('I2 CBA Inputs'!AC$30-'I2 CBA Inputs'!AC35)*'I2 CBA Inputs'!$A$9*IF(AD$75=0,0,1)*'I1 General Inputs'!$A19</f>
        <v>-506000</v>
      </c>
      <c r="AE80" s="18">
        <f>+('I2 CBA Inputs'!AD$30-'I2 CBA Inputs'!AD35)*'I2 CBA Inputs'!$A$9*IF(AE$75=0,0,1)*'I1 General Inputs'!$A19</f>
        <v>-506000</v>
      </c>
      <c r="AF80" s="18">
        <f>+('I2 CBA Inputs'!AE$30-'I2 CBA Inputs'!AE35)*'I2 CBA Inputs'!$A$9*IF(AF$75=0,0,1)*'I1 General Inputs'!$A19</f>
        <v>-506000</v>
      </c>
      <c r="AG80" s="18">
        <f>+('I2 CBA Inputs'!AF$30-'I2 CBA Inputs'!AF35)*'I2 CBA Inputs'!$A$9*IF(AG$75=0,0,1)*'I1 General Inputs'!$A19</f>
        <v>0</v>
      </c>
      <c r="AH80" s="18">
        <f>+('I2 CBA Inputs'!AG$30-'I2 CBA Inputs'!AG35)*'I2 CBA Inputs'!$A$9*IF(AH$75=0,0,1)*'I1 General Inputs'!$A19</f>
        <v>0</v>
      </c>
      <c r="AI80" s="18">
        <f>+('I2 CBA Inputs'!AH$30-'I2 CBA Inputs'!AH35)*'I2 CBA Inputs'!$A$9*IF(AI$75=0,0,1)*'I1 General Inputs'!$A19</f>
        <v>0</v>
      </c>
      <c r="AJ80" s="18">
        <f>+('I2 CBA Inputs'!AI$30-'I2 CBA Inputs'!AI35)*'I2 CBA Inputs'!$A$9*IF(AJ$75=0,0,1)*'I1 General Inputs'!$A19</f>
        <v>0</v>
      </c>
    </row>
    <row r="81" spans="2:36" x14ac:dyDescent="0.2">
      <c r="B81" s="9">
        <f>+'I1 General Inputs'!$B$20</f>
        <v>6</v>
      </c>
      <c r="C81" s="15" t="str">
        <f>+'I1 General Inputs'!$C$20</f>
        <v>Option 5B</v>
      </c>
      <c r="D81" s="28"/>
      <c r="E81" s="13" t="s">
        <v>35</v>
      </c>
      <c r="F81" s="19">
        <f t="shared" si="23"/>
        <v>-33513043.265276469</v>
      </c>
      <c r="G81" s="18">
        <f>+('I2 CBA Inputs'!F$30-'I2 CBA Inputs'!F36)*'I2 CBA Inputs'!$A$9*IF(G$75=0,0,1)*'I1 General Inputs'!$A20</f>
        <v>0</v>
      </c>
      <c r="H81" s="18">
        <f>+('I2 CBA Inputs'!G$30-'I2 CBA Inputs'!G36)*'I2 CBA Inputs'!$A$9*IF(H$75=0,0,1)*'I1 General Inputs'!$A20</f>
        <v>0</v>
      </c>
      <c r="I81" s="18">
        <f>+('I2 CBA Inputs'!H$30-'I2 CBA Inputs'!H36)*'I2 CBA Inputs'!$A$9*IF(I$75=0,0,1)*'I1 General Inputs'!$A20</f>
        <v>0</v>
      </c>
      <c r="J81" s="18">
        <f>+('I2 CBA Inputs'!I$30-'I2 CBA Inputs'!I36)*'I2 CBA Inputs'!$A$9*IF(J$75=0,0,1)*'I1 General Inputs'!$A20</f>
        <v>-3410000</v>
      </c>
      <c r="K81" s="18">
        <f>+('I2 CBA Inputs'!J$30-'I2 CBA Inputs'!J36)*'I2 CBA Inputs'!$A$9*IF(K$75=0,0,1)*'I1 General Inputs'!$A20</f>
        <v>-3410000</v>
      </c>
      <c r="L81" s="18">
        <f>+('I2 CBA Inputs'!K$30-'I2 CBA Inputs'!K36)*'I2 CBA Inputs'!$A$9*IF(L$75=0,0,1)*'I1 General Inputs'!$A20</f>
        <v>-3410000</v>
      </c>
      <c r="M81" s="18">
        <f>+('I2 CBA Inputs'!L$30-'I2 CBA Inputs'!L36)*'I2 CBA Inputs'!$A$9*IF(M$75=0,0,1)*'I1 General Inputs'!$A20</f>
        <v>-3410000</v>
      </c>
      <c r="N81" s="18">
        <f>+('I2 CBA Inputs'!M$30-'I2 CBA Inputs'!M36)*'I2 CBA Inputs'!$A$9*IF(N$75=0,0,1)*'I1 General Inputs'!$A20</f>
        <v>-3410000</v>
      </c>
      <c r="O81" s="18">
        <f>+('I2 CBA Inputs'!N$30-'I2 CBA Inputs'!N36)*'I2 CBA Inputs'!$A$9*IF(O$75=0,0,1)*'I1 General Inputs'!$A20</f>
        <v>-3410000</v>
      </c>
      <c r="P81" s="18">
        <f>+('I2 CBA Inputs'!O$30-'I2 CBA Inputs'!O36)*'I2 CBA Inputs'!$A$9*IF(P$75=0,0,1)*'I1 General Inputs'!$A20</f>
        <v>-3410000</v>
      </c>
      <c r="Q81" s="18">
        <f>+('I2 CBA Inputs'!P$30-'I2 CBA Inputs'!P36)*'I2 CBA Inputs'!$A$9*IF(Q$75=0,0,1)*'I1 General Inputs'!$A20</f>
        <v>-3410000</v>
      </c>
      <c r="R81" s="18">
        <f>+('I2 CBA Inputs'!Q$30-'I2 CBA Inputs'!Q36)*'I2 CBA Inputs'!$A$9*IF(R$75=0,0,1)*'I1 General Inputs'!$A20</f>
        <v>-3410000</v>
      </c>
      <c r="S81" s="18">
        <f>+('I2 CBA Inputs'!R$30-'I2 CBA Inputs'!R36)*'I2 CBA Inputs'!$A$9*IF(S$75=0,0,1)*'I1 General Inputs'!$A20</f>
        <v>-3410000</v>
      </c>
      <c r="T81" s="18">
        <f>+('I2 CBA Inputs'!S$30-'I2 CBA Inputs'!S36)*'I2 CBA Inputs'!$A$9*IF(T$75=0,0,1)*'I1 General Inputs'!$A20</f>
        <v>-3410000</v>
      </c>
      <c r="U81" s="18">
        <f>+('I2 CBA Inputs'!T$30-'I2 CBA Inputs'!T36)*'I2 CBA Inputs'!$A$9*IF(U$75=0,0,1)*'I1 General Inputs'!$A20</f>
        <v>-3410000</v>
      </c>
      <c r="V81" s="18">
        <f>+('I2 CBA Inputs'!U$30-'I2 CBA Inputs'!U36)*'I2 CBA Inputs'!$A$9*IF(V$75=0,0,1)*'I1 General Inputs'!$A20</f>
        <v>-3410000</v>
      </c>
      <c r="W81" s="18">
        <f>+('I2 CBA Inputs'!V$30-'I2 CBA Inputs'!V36)*'I2 CBA Inputs'!$A$9*IF(W$75=0,0,1)*'I1 General Inputs'!$A20</f>
        <v>-3410000</v>
      </c>
      <c r="X81" s="18">
        <f>+('I2 CBA Inputs'!W$30-'I2 CBA Inputs'!W36)*'I2 CBA Inputs'!$A$9*IF(X$75=0,0,1)*'I1 General Inputs'!$A20</f>
        <v>-3410000</v>
      </c>
      <c r="Y81" s="18">
        <f>+('I2 CBA Inputs'!X$30-'I2 CBA Inputs'!X36)*'I2 CBA Inputs'!$A$9*IF(Y$75=0,0,1)*'I1 General Inputs'!$A20</f>
        <v>-1610000</v>
      </c>
      <c r="Z81" s="18">
        <f>+('I2 CBA Inputs'!Y$30-'I2 CBA Inputs'!Y36)*'I2 CBA Inputs'!$A$9*IF(Z$75=0,0,1)*'I1 General Inputs'!$A20</f>
        <v>-1610000</v>
      </c>
      <c r="AA81" s="18">
        <f>+('I2 CBA Inputs'!Z$30-'I2 CBA Inputs'!Z36)*'I2 CBA Inputs'!$A$9*IF(AA$75=0,0,1)*'I1 General Inputs'!$A20</f>
        <v>-1610000</v>
      </c>
      <c r="AB81" s="18">
        <f>+('I2 CBA Inputs'!AA$30-'I2 CBA Inputs'!AA36)*'I2 CBA Inputs'!$A$9*IF(AB$75=0,0,1)*'I1 General Inputs'!$A20</f>
        <v>-1610000</v>
      </c>
      <c r="AC81" s="18">
        <f>+('I2 CBA Inputs'!AB$30-'I2 CBA Inputs'!AB36)*'I2 CBA Inputs'!$A$9*IF(AC$75=0,0,1)*'I1 General Inputs'!$A20</f>
        <v>-1610000</v>
      </c>
      <c r="AD81" s="18">
        <f>+('I2 CBA Inputs'!AC$30-'I2 CBA Inputs'!AC36)*'I2 CBA Inputs'!$A$9*IF(AD$75=0,0,1)*'I1 General Inputs'!$A20</f>
        <v>-1610000</v>
      </c>
      <c r="AE81" s="18">
        <f>+('I2 CBA Inputs'!AD$30-'I2 CBA Inputs'!AD36)*'I2 CBA Inputs'!$A$9*IF(AE$75=0,0,1)*'I1 General Inputs'!$A20</f>
        <v>-1610000</v>
      </c>
      <c r="AF81" s="18">
        <f>+('I2 CBA Inputs'!AE$30-'I2 CBA Inputs'!AE36)*'I2 CBA Inputs'!$A$9*IF(AF$75=0,0,1)*'I1 General Inputs'!$A20</f>
        <v>-1610000</v>
      </c>
      <c r="AG81" s="18">
        <f>+('I2 CBA Inputs'!AF$30-'I2 CBA Inputs'!AF36)*'I2 CBA Inputs'!$A$9*IF(AG$75=0,0,1)*'I1 General Inputs'!$A20</f>
        <v>0</v>
      </c>
      <c r="AH81" s="18">
        <f>+('I2 CBA Inputs'!AG$30-'I2 CBA Inputs'!AG36)*'I2 CBA Inputs'!$A$9*IF(AH$75=0,0,1)*'I1 General Inputs'!$A20</f>
        <v>0</v>
      </c>
      <c r="AI81" s="18">
        <f>+('I2 CBA Inputs'!AH$30-'I2 CBA Inputs'!AH36)*'I2 CBA Inputs'!$A$9*IF(AI$75=0,0,1)*'I1 General Inputs'!$A20</f>
        <v>0</v>
      </c>
      <c r="AJ81" s="18">
        <f>+('I2 CBA Inputs'!AI$30-'I2 CBA Inputs'!AI36)*'I2 CBA Inputs'!$A$9*IF(AJ$75=0,0,1)*'I1 General Inputs'!$A20</f>
        <v>0</v>
      </c>
    </row>
    <row r="83" spans="2:36" ht="21" x14ac:dyDescent="0.35">
      <c r="B83" s="6" t="s">
        <v>52</v>
      </c>
      <c r="C83" s="34"/>
      <c r="D83" s="34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</row>
    <row r="85" spans="2:36" ht="15.75" x14ac:dyDescent="0.25">
      <c r="B85" s="5" t="str">
        <f>+'I2 CBA Inputs'!B40</f>
        <v>Involuntary load shedding</v>
      </c>
      <c r="C85" s="30"/>
      <c r="D85" s="30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</row>
    <row r="86" spans="2:36" ht="15.75" x14ac:dyDescent="0.25">
      <c r="B86" s="7" t="s">
        <v>14</v>
      </c>
      <c r="C86" s="11" t="s">
        <v>13</v>
      </c>
      <c r="D86" s="11"/>
      <c r="E86" s="8" t="s">
        <v>22</v>
      </c>
      <c r="F86" s="8" t="s">
        <v>37</v>
      </c>
      <c r="G86" s="7">
        <f t="shared" ref="G86:AJ86" si="24">G$7</f>
        <v>2020</v>
      </c>
      <c r="H86" s="7">
        <f t="shared" si="24"/>
        <v>2021</v>
      </c>
      <c r="I86" s="7">
        <f t="shared" si="24"/>
        <v>2022</v>
      </c>
      <c r="J86" s="7">
        <f t="shared" si="24"/>
        <v>2023</v>
      </c>
      <c r="K86" s="7">
        <f t="shared" si="24"/>
        <v>2024</v>
      </c>
      <c r="L86" s="7">
        <f t="shared" si="24"/>
        <v>2025</v>
      </c>
      <c r="M86" s="7">
        <f t="shared" si="24"/>
        <v>2026</v>
      </c>
      <c r="N86" s="7">
        <f t="shared" si="24"/>
        <v>2027</v>
      </c>
      <c r="O86" s="7">
        <f t="shared" si="24"/>
        <v>2028</v>
      </c>
      <c r="P86" s="7">
        <f t="shared" si="24"/>
        <v>2029</v>
      </c>
      <c r="Q86" s="7">
        <f t="shared" si="24"/>
        <v>2030</v>
      </c>
      <c r="R86" s="7">
        <f t="shared" si="24"/>
        <v>2031</v>
      </c>
      <c r="S86" s="7">
        <f t="shared" si="24"/>
        <v>2032</v>
      </c>
      <c r="T86" s="7">
        <f t="shared" si="24"/>
        <v>2033</v>
      </c>
      <c r="U86" s="7">
        <f t="shared" si="24"/>
        <v>2034</v>
      </c>
      <c r="V86" s="7">
        <f t="shared" si="24"/>
        <v>2035</v>
      </c>
      <c r="W86" s="7">
        <f t="shared" si="24"/>
        <v>2036</v>
      </c>
      <c r="X86" s="7">
        <f t="shared" si="24"/>
        <v>2037</v>
      </c>
      <c r="Y86" s="7">
        <f t="shared" si="24"/>
        <v>2038</v>
      </c>
      <c r="Z86" s="7">
        <f t="shared" si="24"/>
        <v>2039</v>
      </c>
      <c r="AA86" s="7">
        <f t="shared" si="24"/>
        <v>2040</v>
      </c>
      <c r="AB86" s="7">
        <f t="shared" si="24"/>
        <v>2041</v>
      </c>
      <c r="AC86" s="7">
        <f t="shared" si="24"/>
        <v>2042</v>
      </c>
      <c r="AD86" s="7">
        <f t="shared" si="24"/>
        <v>2043</v>
      </c>
      <c r="AE86" s="7">
        <f t="shared" si="24"/>
        <v>2044</v>
      </c>
      <c r="AF86" s="7">
        <f t="shared" si="24"/>
        <v>2045</v>
      </c>
      <c r="AG86" s="7">
        <f t="shared" si="24"/>
        <v>0</v>
      </c>
      <c r="AH86" s="7">
        <f t="shared" si="24"/>
        <v>0</v>
      </c>
      <c r="AI86" s="7">
        <f t="shared" si="24"/>
        <v>0</v>
      </c>
      <c r="AJ86" s="7">
        <f t="shared" si="24"/>
        <v>0</v>
      </c>
    </row>
    <row r="87" spans="2:36" x14ac:dyDescent="0.2">
      <c r="B87" s="9">
        <f>+'I1 General Inputs'!$B$15</f>
        <v>1</v>
      </c>
      <c r="C87" s="15" t="str">
        <f>+'I1 General Inputs'!$C$15</f>
        <v>Option 1A</v>
      </c>
      <c r="D87" s="28"/>
      <c r="E87" s="13" t="s">
        <v>35</v>
      </c>
      <c r="F87" s="19">
        <f t="shared" ref="F87:F92" si="25">NPV(DiscountRate,G87:AJ87)/(1+DiscountRate)^(FirstYear-BaseYear-2)</f>
        <v>6847940.5294074602</v>
      </c>
      <c r="G87" s="18">
        <f>IFERROR('I1 General Inputs'!$A15*(IF(Scenario_Select="Scenario 1",'I2 CBA Inputs'!F$43-'I2 CBA Inputs'!F44,0)+IF(Scenario_Select="Scenario 2",'I2 CBA Inputs'!F$52-'I2 CBA Inputs'!F53,0)+IF(Scenario_Select="Scenario 3",'I2 CBA Inputs'!F$61-'I2 CBA Inputs'!F62,0)+IF(Scenario_Select="Scenario 4",'I2 CBA Inputs'!F$70-'I2 CBA Inputs'!F71,0)),0)</f>
        <v>0</v>
      </c>
      <c r="H87" s="18">
        <f>IFERROR('I1 General Inputs'!$A15*(IF(Scenario_Select="Scenario 1",'I2 CBA Inputs'!G$43-'I2 CBA Inputs'!G44,0)+IF(Scenario_Select="Scenario 2",'I2 CBA Inputs'!G$52-'I2 CBA Inputs'!G53,0)+IF(Scenario_Select="Scenario 3",'I2 CBA Inputs'!G$61-'I2 CBA Inputs'!G62,0)+IF(Scenario_Select="Scenario 4",'I2 CBA Inputs'!G$70-'I2 CBA Inputs'!G71,0)),0)</f>
        <v>0.3782143039861694</v>
      </c>
      <c r="I87" s="18">
        <f>IFERROR('I1 General Inputs'!$A15*(IF(Scenario_Select="Scenario 1",'I2 CBA Inputs'!H$43-'I2 CBA Inputs'!H44,0)+IF(Scenario_Select="Scenario 2",'I2 CBA Inputs'!H$52-'I2 CBA Inputs'!H53,0)+IF(Scenario_Select="Scenario 3",'I2 CBA Inputs'!H$61-'I2 CBA Inputs'!H62,0)+IF(Scenario_Select="Scenario 4",'I2 CBA Inputs'!H$70-'I2 CBA Inputs'!H71,0)),0)</f>
        <v>-0.85979865305125713</v>
      </c>
      <c r="J87" s="18">
        <f>IFERROR('I1 General Inputs'!$A15*(IF(Scenario_Select="Scenario 1",'I2 CBA Inputs'!I$43-'I2 CBA Inputs'!I44,0)+IF(Scenario_Select="Scenario 2",'I2 CBA Inputs'!I$52-'I2 CBA Inputs'!I53,0)+IF(Scenario_Select="Scenario 3",'I2 CBA Inputs'!I$61-'I2 CBA Inputs'!I62,0)+IF(Scenario_Select="Scenario 4",'I2 CBA Inputs'!I$70-'I2 CBA Inputs'!I71,0)),0)</f>
        <v>-523996.74243298173</v>
      </c>
      <c r="K87" s="18">
        <f>IFERROR('I1 General Inputs'!$A15*(IF(Scenario_Select="Scenario 1",'I2 CBA Inputs'!J$43-'I2 CBA Inputs'!J44,0)+IF(Scenario_Select="Scenario 2",'I2 CBA Inputs'!J$52-'I2 CBA Inputs'!J53,0)+IF(Scenario_Select="Scenario 3",'I2 CBA Inputs'!J$61-'I2 CBA Inputs'!J62,0)+IF(Scenario_Select="Scenario 4",'I2 CBA Inputs'!J$70-'I2 CBA Inputs'!J71,0)),0)</f>
        <v>10113914.550502129</v>
      </c>
      <c r="L87" s="18">
        <f>IFERROR('I1 General Inputs'!$A15*(IF(Scenario_Select="Scenario 1",'I2 CBA Inputs'!K$43-'I2 CBA Inputs'!K44,0)+IF(Scenario_Select="Scenario 2",'I2 CBA Inputs'!K$52-'I2 CBA Inputs'!K53,0)+IF(Scenario_Select="Scenario 3",'I2 CBA Inputs'!K$61-'I2 CBA Inputs'!K62,0)+IF(Scenario_Select="Scenario 4",'I2 CBA Inputs'!K$70-'I2 CBA Inputs'!K71,0)),0)</f>
        <v>5207372.6805838048</v>
      </c>
      <c r="M87" s="18">
        <f>IFERROR('I1 General Inputs'!$A15*(IF(Scenario_Select="Scenario 1",'I2 CBA Inputs'!L$43-'I2 CBA Inputs'!L44,0)+IF(Scenario_Select="Scenario 2",'I2 CBA Inputs'!L$52-'I2 CBA Inputs'!L53,0)+IF(Scenario_Select="Scenario 3",'I2 CBA Inputs'!L$61-'I2 CBA Inputs'!L62,0)+IF(Scenario_Select="Scenario 4",'I2 CBA Inputs'!L$70-'I2 CBA Inputs'!L71,0)),0)</f>
        <v>1.0312453264806947</v>
      </c>
      <c r="N87" s="18">
        <f>IFERROR('I1 General Inputs'!$A15*(IF(Scenario_Select="Scenario 1",'I2 CBA Inputs'!M$43-'I2 CBA Inputs'!M44,0)+IF(Scenario_Select="Scenario 2",'I2 CBA Inputs'!M$52-'I2 CBA Inputs'!M53,0)+IF(Scenario_Select="Scenario 3",'I2 CBA Inputs'!M$61-'I2 CBA Inputs'!M62,0)+IF(Scenario_Select="Scenario 4",'I2 CBA Inputs'!M$70-'I2 CBA Inputs'!M71,0)),0)</f>
        <v>1.092069730665808</v>
      </c>
      <c r="O87" s="18">
        <f>IFERROR('I1 General Inputs'!$A15*(IF(Scenario_Select="Scenario 1",'I2 CBA Inputs'!N$43-'I2 CBA Inputs'!N44,0)+IF(Scenario_Select="Scenario 2",'I2 CBA Inputs'!N$52-'I2 CBA Inputs'!N53,0)+IF(Scenario_Select="Scenario 3",'I2 CBA Inputs'!N$61-'I2 CBA Inputs'!N62,0)+IF(Scenario_Select="Scenario 4",'I2 CBA Inputs'!N$70-'I2 CBA Inputs'!N71,0)),0)</f>
        <v>1.1598052705711703</v>
      </c>
      <c r="P87" s="18">
        <f>IFERROR('I1 General Inputs'!$A15*(IF(Scenario_Select="Scenario 1",'I2 CBA Inputs'!O$43-'I2 CBA Inputs'!O44,0)+IF(Scenario_Select="Scenario 2",'I2 CBA Inputs'!O$52-'I2 CBA Inputs'!O53,0)+IF(Scenario_Select="Scenario 3",'I2 CBA Inputs'!O$61-'I2 CBA Inputs'!O62,0)+IF(Scenario_Select="Scenario 4",'I2 CBA Inputs'!O$70-'I2 CBA Inputs'!O71,0)),0)</f>
        <v>-3481476.8707018383</v>
      </c>
      <c r="Q87" s="18">
        <f>IFERROR('I1 General Inputs'!$A15*(IF(Scenario_Select="Scenario 1",'I2 CBA Inputs'!P$43-'I2 CBA Inputs'!P44,0)+IF(Scenario_Select="Scenario 2",'I2 CBA Inputs'!P$52-'I2 CBA Inputs'!P53,0)+IF(Scenario_Select="Scenario 3",'I2 CBA Inputs'!P$61-'I2 CBA Inputs'!P62,0)+IF(Scenario_Select="Scenario 4",'I2 CBA Inputs'!P$70-'I2 CBA Inputs'!P71,0)),0)</f>
        <v>-545748.40493153036</v>
      </c>
      <c r="R87" s="18">
        <f>IFERROR('I1 General Inputs'!$A15*(IF(Scenario_Select="Scenario 1",'I2 CBA Inputs'!Q$43-'I2 CBA Inputs'!Q44,0)+IF(Scenario_Select="Scenario 2",'I2 CBA Inputs'!Q$52-'I2 CBA Inputs'!Q53,0)+IF(Scenario_Select="Scenario 3",'I2 CBA Inputs'!Q$61-'I2 CBA Inputs'!Q62,0)+IF(Scenario_Select="Scenario 4",'I2 CBA Inputs'!Q$70-'I2 CBA Inputs'!Q71,0)),0)</f>
        <v>789376.10696235672</v>
      </c>
      <c r="S87" s="18">
        <f>IFERROR('I1 General Inputs'!$A15*(IF(Scenario_Select="Scenario 1",'I2 CBA Inputs'!R$43-'I2 CBA Inputs'!R44,0)+IF(Scenario_Select="Scenario 2",'I2 CBA Inputs'!R$52-'I2 CBA Inputs'!R53,0)+IF(Scenario_Select="Scenario 3",'I2 CBA Inputs'!R$61-'I2 CBA Inputs'!R62,0)+IF(Scenario_Select="Scenario 4",'I2 CBA Inputs'!R$70-'I2 CBA Inputs'!R71,0)),0)</f>
        <v>-213597.51807385311</v>
      </c>
      <c r="T87" s="18">
        <f>IFERROR('I1 General Inputs'!$A15*(IF(Scenario_Select="Scenario 1",'I2 CBA Inputs'!S$43-'I2 CBA Inputs'!S44,0)+IF(Scenario_Select="Scenario 2",'I2 CBA Inputs'!S$52-'I2 CBA Inputs'!S53,0)+IF(Scenario_Select="Scenario 3",'I2 CBA Inputs'!S$61-'I2 CBA Inputs'!S62,0)+IF(Scenario_Select="Scenario 4",'I2 CBA Inputs'!S$70-'I2 CBA Inputs'!S71,0)),0)</f>
        <v>183829.40221408941</v>
      </c>
      <c r="U87" s="18">
        <f>IFERROR('I1 General Inputs'!$A15*(IF(Scenario_Select="Scenario 1",'I2 CBA Inputs'!T$43-'I2 CBA Inputs'!T44,0)+IF(Scenario_Select="Scenario 2",'I2 CBA Inputs'!T$52-'I2 CBA Inputs'!T53,0)+IF(Scenario_Select="Scenario 3",'I2 CBA Inputs'!T$61-'I2 CBA Inputs'!T62,0)+IF(Scenario_Select="Scenario 4",'I2 CBA Inputs'!T$70-'I2 CBA Inputs'!T71,0)),0)</f>
        <v>-3071751.1846743412</v>
      </c>
      <c r="V87" s="18">
        <f>IFERROR('I1 General Inputs'!$A15*(IF(Scenario_Select="Scenario 1",'I2 CBA Inputs'!U$43-'I2 CBA Inputs'!U44,0)+IF(Scenario_Select="Scenario 2",'I2 CBA Inputs'!U$52-'I2 CBA Inputs'!U53,0)+IF(Scenario_Select="Scenario 3",'I2 CBA Inputs'!U$61-'I2 CBA Inputs'!U62,0)+IF(Scenario_Select="Scenario 4",'I2 CBA Inputs'!U$70-'I2 CBA Inputs'!U71,0)),0)</f>
        <v>1008227.7732634931</v>
      </c>
      <c r="W87" s="18">
        <f>IFERROR('I1 General Inputs'!$A15*(IF(Scenario_Select="Scenario 1",'I2 CBA Inputs'!V$43-'I2 CBA Inputs'!V44,0)+IF(Scenario_Select="Scenario 2",'I2 CBA Inputs'!V$52-'I2 CBA Inputs'!V53,0)+IF(Scenario_Select="Scenario 3",'I2 CBA Inputs'!V$61-'I2 CBA Inputs'!V62,0)+IF(Scenario_Select="Scenario 4",'I2 CBA Inputs'!V$70-'I2 CBA Inputs'!V71,0)),0)</f>
        <v>2186741.1450193822</v>
      </c>
      <c r="X87" s="18">
        <f>IFERROR('I1 General Inputs'!$A15*(IF(Scenario_Select="Scenario 1",'I2 CBA Inputs'!W$43-'I2 CBA Inputs'!W44,0)+IF(Scenario_Select="Scenario 2",'I2 CBA Inputs'!W$52-'I2 CBA Inputs'!W53,0)+IF(Scenario_Select="Scenario 3",'I2 CBA Inputs'!W$61-'I2 CBA Inputs'!W62,0)+IF(Scenario_Select="Scenario 4",'I2 CBA Inputs'!W$70-'I2 CBA Inputs'!W71,0)),0)</f>
        <v>1.9306336117611487</v>
      </c>
      <c r="Y87" s="18">
        <f>IFERROR('I1 General Inputs'!$A15*(IF(Scenario_Select="Scenario 1",'I2 CBA Inputs'!X$43-'I2 CBA Inputs'!X44,0)+IF(Scenario_Select="Scenario 2",'I2 CBA Inputs'!X$52-'I2 CBA Inputs'!X53,0)+IF(Scenario_Select="Scenario 3",'I2 CBA Inputs'!X$61-'I2 CBA Inputs'!X62,0)+IF(Scenario_Select="Scenario 4",'I2 CBA Inputs'!X$70-'I2 CBA Inputs'!X71,0)),0)</f>
        <v>2.0419916981269726</v>
      </c>
      <c r="Z87" s="18">
        <f>IFERROR('I1 General Inputs'!$A15*(IF(Scenario_Select="Scenario 1",'I2 CBA Inputs'!Y$43-'I2 CBA Inputs'!Y44,0)+IF(Scenario_Select="Scenario 2",'I2 CBA Inputs'!Y$52-'I2 CBA Inputs'!Y53,0)+IF(Scenario_Select="Scenario 3",'I2 CBA Inputs'!Y$61-'I2 CBA Inputs'!Y62,0)+IF(Scenario_Select="Scenario 4",'I2 CBA Inputs'!Y$70-'I2 CBA Inputs'!Y71,0)),0)</f>
        <v>-40.737024463713169</v>
      </c>
      <c r="AA87" s="18">
        <f>IFERROR('I1 General Inputs'!$A15*(IF(Scenario_Select="Scenario 1",'I2 CBA Inputs'!Z$43-'I2 CBA Inputs'!Z44,0)+IF(Scenario_Select="Scenario 2",'I2 CBA Inputs'!Z$52-'I2 CBA Inputs'!Z53,0)+IF(Scenario_Select="Scenario 3",'I2 CBA Inputs'!Z$61-'I2 CBA Inputs'!Z62,0)+IF(Scenario_Select="Scenario 4",'I2 CBA Inputs'!Z$70-'I2 CBA Inputs'!Z71,0)),0)</f>
        <v>7834556.3756132871</v>
      </c>
      <c r="AB87" s="18">
        <f>IFERROR('I1 General Inputs'!$A15*(IF(Scenario_Select="Scenario 1",'I2 CBA Inputs'!AA$43-'I2 CBA Inputs'!AA44,0)+IF(Scenario_Select="Scenario 2",'I2 CBA Inputs'!AA$52-'I2 CBA Inputs'!AA53,0)+IF(Scenario_Select="Scenario 3",'I2 CBA Inputs'!AA$61-'I2 CBA Inputs'!AA62,0)+IF(Scenario_Select="Scenario 4",'I2 CBA Inputs'!AA$70-'I2 CBA Inputs'!AA71,0)),0)</f>
        <v>-11099361.076401789</v>
      </c>
      <c r="AC87" s="18">
        <f>IFERROR('I1 General Inputs'!$A15*(IF(Scenario_Select="Scenario 1",'I2 CBA Inputs'!AB$43-'I2 CBA Inputs'!AB44,0)+IF(Scenario_Select="Scenario 2",'I2 CBA Inputs'!AB$52-'I2 CBA Inputs'!AB53,0)+IF(Scenario_Select="Scenario 3",'I2 CBA Inputs'!AB$61-'I2 CBA Inputs'!AB62,0)+IF(Scenario_Select="Scenario 4",'I2 CBA Inputs'!AB$70-'I2 CBA Inputs'!AB71,0)),0)</f>
        <v>-2633615.4486927167</v>
      </c>
      <c r="AD87" s="18">
        <f>IFERROR('I1 General Inputs'!$A15*(IF(Scenario_Select="Scenario 1",'I2 CBA Inputs'!AC$43-'I2 CBA Inputs'!AC44,0)+IF(Scenario_Select="Scenario 2",'I2 CBA Inputs'!AC$52-'I2 CBA Inputs'!AC53,0)+IF(Scenario_Select="Scenario 3",'I2 CBA Inputs'!AC$61-'I2 CBA Inputs'!AC62,0)+IF(Scenario_Select="Scenario 4",'I2 CBA Inputs'!AC$70-'I2 CBA Inputs'!AC71,0)),0)</f>
        <v>-896014.69316844642</v>
      </c>
      <c r="AE87" s="18">
        <f>IFERROR('I1 General Inputs'!$A15*(IF(Scenario_Select="Scenario 1",'I2 CBA Inputs'!AD$43-'I2 CBA Inputs'!AD44,0)+IF(Scenario_Select="Scenario 2",'I2 CBA Inputs'!AD$52-'I2 CBA Inputs'!AD53,0)+IF(Scenario_Select="Scenario 3",'I2 CBA Inputs'!AD$61-'I2 CBA Inputs'!AD62,0)+IF(Scenario_Select="Scenario 4",'I2 CBA Inputs'!AD$70-'I2 CBA Inputs'!AD71,0)),0)</f>
        <v>-3060673.1417039484</v>
      </c>
      <c r="AF87" s="18">
        <f>'I1 General Inputs'!$A15*(IF(Scenario_Select="Scenario 1",'I2 CBA Inputs'!AE$43-'I2 CBA Inputs'!AE44,0)+IF(Scenario_Select="Scenario 2",'I2 CBA Inputs'!AE$52-'I2 CBA Inputs'!AE53,0)+IF(Scenario_Select="Scenario 3",'I2 CBA Inputs'!AE$61-'I2 CBA Inputs'!AE62,0)+IF(Scenario_Select="Scenario 4",'I2 CBA Inputs'!AE$70-'I2 CBA Inputs'!AE71,0))</f>
        <v>3.0380107534116121</v>
      </c>
      <c r="AG87" s="18">
        <f>'I1 General Inputs'!$A15*(IF(Scenario_Select="Scenario 1",'I2 CBA Inputs'!AF$43-'I2 CBA Inputs'!AF44,0)+IF(Scenario_Select="Scenario 2",'I2 CBA Inputs'!AF$52-'I2 CBA Inputs'!AF53,0)+IF(Scenario_Select="Scenario 3",'I2 CBA Inputs'!AF$61-'I2 CBA Inputs'!AF62,0)+IF(Scenario_Select="Scenario 4",'I2 CBA Inputs'!AF$70-'I2 CBA Inputs'!AF71,0))</f>
        <v>0</v>
      </c>
      <c r="AH87" s="18">
        <f>'I1 General Inputs'!$A15*(IF(Scenario_Select="Scenario 1",'I2 CBA Inputs'!AG$43-'I2 CBA Inputs'!AG44,0)+IF(Scenario_Select="Scenario 2",'I2 CBA Inputs'!AG$52-'I2 CBA Inputs'!AG53,0)+IF(Scenario_Select="Scenario 3",'I2 CBA Inputs'!AG$61-'I2 CBA Inputs'!AG62,0)+IF(Scenario_Select="Scenario 4",'I2 CBA Inputs'!AG$70-'I2 CBA Inputs'!AG71,0))</f>
        <v>0</v>
      </c>
      <c r="AI87" s="18">
        <f>'I1 General Inputs'!$A15*(IF(Scenario_Select="Scenario 1",'I2 CBA Inputs'!AH$43-'I2 CBA Inputs'!AH44,0)+IF(Scenario_Select="Scenario 2",'I2 CBA Inputs'!AH$52-'I2 CBA Inputs'!AH53,0)+IF(Scenario_Select="Scenario 3",'I2 CBA Inputs'!AH$61-'I2 CBA Inputs'!AH62,0)+IF(Scenario_Select="Scenario 4",'I2 CBA Inputs'!AH$70-'I2 CBA Inputs'!AH71,0))</f>
        <v>0</v>
      </c>
      <c r="AJ87" s="18">
        <f>'I1 General Inputs'!$A15*(IF(Scenario_Select="Scenario 1",'I2 CBA Inputs'!AI$43-'I2 CBA Inputs'!AI44,0)+IF(Scenario_Select="Scenario 2",'I2 CBA Inputs'!AI$52-'I2 CBA Inputs'!AI53,0)+IF(Scenario_Select="Scenario 3",'I2 CBA Inputs'!AI$61-'I2 CBA Inputs'!AI62,0)+IF(Scenario_Select="Scenario 4",'I2 CBA Inputs'!AI$70-'I2 CBA Inputs'!AI71,0))</f>
        <v>0</v>
      </c>
    </row>
    <row r="88" spans="2:36" x14ac:dyDescent="0.2">
      <c r="B88" s="9">
        <f>+'I1 General Inputs'!$B$16</f>
        <v>2</v>
      </c>
      <c r="C88" s="15" t="str">
        <f>+'I1 General Inputs'!$C$16</f>
        <v>Option 1B</v>
      </c>
      <c r="D88" s="28"/>
      <c r="E88" s="13" t="s">
        <v>35</v>
      </c>
      <c r="F88" s="19">
        <f t="shared" si="25"/>
        <v>-3911997.0420674719</v>
      </c>
      <c r="G88" s="18">
        <f>IFERROR('I1 General Inputs'!$A16*(IF(Scenario_Select="Scenario 1",'I2 CBA Inputs'!F$43-'I2 CBA Inputs'!F45,0)+IF(Scenario_Select="Scenario 2",'I2 CBA Inputs'!F$52-'I2 CBA Inputs'!F54,0)+IF(Scenario_Select="Scenario 3",'I2 CBA Inputs'!F$61-'I2 CBA Inputs'!F63,0)+IF(Scenario_Select="Scenario 4",'I2 CBA Inputs'!F$70-'I2 CBA Inputs'!F72,0)),0)</f>
        <v>0</v>
      </c>
      <c r="H88" s="18">
        <f>IFERROR('I1 General Inputs'!$A16*(IF(Scenario_Select="Scenario 1",'I2 CBA Inputs'!G$43-'I2 CBA Inputs'!G45,0)+IF(Scenario_Select="Scenario 2",'I2 CBA Inputs'!G$52-'I2 CBA Inputs'!G54,0)+IF(Scenario_Select="Scenario 3",'I2 CBA Inputs'!G$61-'I2 CBA Inputs'!G63,0)+IF(Scenario_Select="Scenario 4",'I2 CBA Inputs'!G$70-'I2 CBA Inputs'!G72,0)),0)</f>
        <v>-0.69571148999966681</v>
      </c>
      <c r="I88" s="18">
        <f>IFERROR('I1 General Inputs'!$A16*(IF(Scenario_Select="Scenario 1",'I2 CBA Inputs'!H$43-'I2 CBA Inputs'!H45,0)+IF(Scenario_Select="Scenario 2",'I2 CBA Inputs'!H$52-'I2 CBA Inputs'!H54,0)+IF(Scenario_Select="Scenario 3",'I2 CBA Inputs'!H$61-'I2 CBA Inputs'!H63,0)+IF(Scenario_Select="Scenario 4",'I2 CBA Inputs'!H$70-'I2 CBA Inputs'!H72,0)),0)</f>
        <v>0.85194858722388744</v>
      </c>
      <c r="J88" s="18">
        <f>IFERROR('I1 General Inputs'!$A16*(IF(Scenario_Select="Scenario 1",'I2 CBA Inputs'!I$43-'I2 CBA Inputs'!I45,0)+IF(Scenario_Select="Scenario 2",'I2 CBA Inputs'!I$52-'I2 CBA Inputs'!I54,0)+IF(Scenario_Select="Scenario 3",'I2 CBA Inputs'!I$61-'I2 CBA Inputs'!I63,0)+IF(Scenario_Select="Scenario 4",'I2 CBA Inputs'!I$70-'I2 CBA Inputs'!I72,0)),0)</f>
        <v>47243.456405580044</v>
      </c>
      <c r="K88" s="18">
        <f>IFERROR('I1 General Inputs'!$A16*(IF(Scenario_Select="Scenario 1",'I2 CBA Inputs'!J$43-'I2 CBA Inputs'!J45,0)+IF(Scenario_Select="Scenario 2",'I2 CBA Inputs'!J$52-'I2 CBA Inputs'!J54,0)+IF(Scenario_Select="Scenario 3",'I2 CBA Inputs'!J$61-'I2 CBA Inputs'!J63,0)+IF(Scenario_Select="Scenario 4",'I2 CBA Inputs'!J$70-'I2 CBA Inputs'!J72,0)),0)</f>
        <v>8253706.0561134666</v>
      </c>
      <c r="L88" s="18">
        <f>IFERROR('I1 General Inputs'!$A16*(IF(Scenario_Select="Scenario 1",'I2 CBA Inputs'!K$43-'I2 CBA Inputs'!K45,0)+IF(Scenario_Select="Scenario 2",'I2 CBA Inputs'!K$52-'I2 CBA Inputs'!K54,0)+IF(Scenario_Select="Scenario 3",'I2 CBA Inputs'!K$61-'I2 CBA Inputs'!K63,0)+IF(Scenario_Select="Scenario 4",'I2 CBA Inputs'!K$70-'I2 CBA Inputs'!K72,0)),0)</f>
        <v>-480953.4933000505</v>
      </c>
      <c r="M88" s="18">
        <f>IFERROR('I1 General Inputs'!$A16*(IF(Scenario_Select="Scenario 1",'I2 CBA Inputs'!L$43-'I2 CBA Inputs'!L45,0)+IF(Scenario_Select="Scenario 2",'I2 CBA Inputs'!L$52-'I2 CBA Inputs'!L54,0)+IF(Scenario_Select="Scenario 3",'I2 CBA Inputs'!L$61-'I2 CBA Inputs'!L63,0)+IF(Scenario_Select="Scenario 4",'I2 CBA Inputs'!L$70-'I2 CBA Inputs'!L72,0)),0)</f>
        <v>-1.7917118268459298</v>
      </c>
      <c r="N88" s="18">
        <f>IFERROR('I1 General Inputs'!$A16*(IF(Scenario_Select="Scenario 1",'I2 CBA Inputs'!M$43-'I2 CBA Inputs'!M45,0)+IF(Scenario_Select="Scenario 2",'I2 CBA Inputs'!M$52-'I2 CBA Inputs'!M54,0)+IF(Scenario_Select="Scenario 3",'I2 CBA Inputs'!M$61-'I2 CBA Inputs'!M63,0)+IF(Scenario_Select="Scenario 4",'I2 CBA Inputs'!M$70-'I2 CBA Inputs'!M72,0)),0)</f>
        <v>-1.8972985588158235</v>
      </c>
      <c r="O88" s="18">
        <f>IFERROR('I1 General Inputs'!$A16*(IF(Scenario_Select="Scenario 1",'I2 CBA Inputs'!N$43-'I2 CBA Inputs'!N45,0)+IF(Scenario_Select="Scenario 2",'I2 CBA Inputs'!N$52-'I2 CBA Inputs'!N54,0)+IF(Scenario_Select="Scenario 3",'I2 CBA Inputs'!N$61-'I2 CBA Inputs'!N63,0)+IF(Scenario_Select="Scenario 4",'I2 CBA Inputs'!N$70-'I2 CBA Inputs'!N72,0)),0)</f>
        <v>-2.0150546329841506</v>
      </c>
      <c r="P88" s="18">
        <f>IFERROR('I1 General Inputs'!$A16*(IF(Scenario_Select="Scenario 1",'I2 CBA Inputs'!O$43-'I2 CBA Inputs'!O45,0)+IF(Scenario_Select="Scenario 2",'I2 CBA Inputs'!O$52-'I2 CBA Inputs'!O54,0)+IF(Scenario_Select="Scenario 3",'I2 CBA Inputs'!O$61-'I2 CBA Inputs'!O63,0)+IF(Scenario_Select="Scenario 4",'I2 CBA Inputs'!O$70-'I2 CBA Inputs'!O72,0)),0)</f>
        <v>-2670274.2491581105</v>
      </c>
      <c r="Q88" s="18">
        <f>IFERROR('I1 General Inputs'!$A16*(IF(Scenario_Select="Scenario 1",'I2 CBA Inputs'!P$43-'I2 CBA Inputs'!P45,0)+IF(Scenario_Select="Scenario 2",'I2 CBA Inputs'!P$52-'I2 CBA Inputs'!P54,0)+IF(Scenario_Select="Scenario 3",'I2 CBA Inputs'!P$61-'I2 CBA Inputs'!P63,0)+IF(Scenario_Select="Scenario 4",'I2 CBA Inputs'!P$70-'I2 CBA Inputs'!P72,0)),0)</f>
        <v>292670.15179480612</v>
      </c>
      <c r="R88" s="18">
        <f>IFERROR('I1 General Inputs'!$A16*(IF(Scenario_Select="Scenario 1",'I2 CBA Inputs'!Q$43-'I2 CBA Inputs'!Q45,0)+IF(Scenario_Select="Scenario 2",'I2 CBA Inputs'!Q$52-'I2 CBA Inputs'!Q54,0)+IF(Scenario_Select="Scenario 3",'I2 CBA Inputs'!Q$61-'I2 CBA Inputs'!Q63,0)+IF(Scenario_Select="Scenario 4",'I2 CBA Inputs'!Q$70-'I2 CBA Inputs'!Q72,0)),0)</f>
        <v>319934.31892284378</v>
      </c>
      <c r="S88" s="18">
        <f>IFERROR('I1 General Inputs'!$A16*(IF(Scenario_Select="Scenario 1",'I2 CBA Inputs'!R$43-'I2 CBA Inputs'!R45,0)+IF(Scenario_Select="Scenario 2",'I2 CBA Inputs'!R$52-'I2 CBA Inputs'!R54,0)+IF(Scenario_Select="Scenario 3",'I2 CBA Inputs'!R$61-'I2 CBA Inputs'!R63,0)+IF(Scenario_Select="Scenario 4",'I2 CBA Inputs'!R$70-'I2 CBA Inputs'!R72,0)),0)</f>
        <v>228478.62000125833</v>
      </c>
      <c r="T88" s="18">
        <f>IFERROR('I1 General Inputs'!$A16*(IF(Scenario_Select="Scenario 1",'I2 CBA Inputs'!S$43-'I2 CBA Inputs'!S45,0)+IF(Scenario_Select="Scenario 2",'I2 CBA Inputs'!S$52-'I2 CBA Inputs'!S54,0)+IF(Scenario_Select="Scenario 3",'I2 CBA Inputs'!S$61-'I2 CBA Inputs'!S63,0)+IF(Scenario_Select="Scenario 4",'I2 CBA Inputs'!S$70-'I2 CBA Inputs'!S72,0)),0)</f>
        <v>480347.89944449253</v>
      </c>
      <c r="U88" s="18">
        <f>IFERROR('I1 General Inputs'!$A16*(IF(Scenario_Select="Scenario 1",'I2 CBA Inputs'!T$43-'I2 CBA Inputs'!T45,0)+IF(Scenario_Select="Scenario 2",'I2 CBA Inputs'!T$52-'I2 CBA Inputs'!T54,0)+IF(Scenario_Select="Scenario 3",'I2 CBA Inputs'!T$61-'I2 CBA Inputs'!T63,0)+IF(Scenario_Select="Scenario 4",'I2 CBA Inputs'!T$70-'I2 CBA Inputs'!T72,0)),0)</f>
        <v>-4692950.0257988833</v>
      </c>
      <c r="V88" s="18">
        <f>IFERROR('I1 General Inputs'!$A16*(IF(Scenario_Select="Scenario 1",'I2 CBA Inputs'!U$43-'I2 CBA Inputs'!U45,0)+IF(Scenario_Select="Scenario 2",'I2 CBA Inputs'!U$52-'I2 CBA Inputs'!U54,0)+IF(Scenario_Select="Scenario 3",'I2 CBA Inputs'!U$61-'I2 CBA Inputs'!U63,0)+IF(Scenario_Select="Scenario 4",'I2 CBA Inputs'!U$70-'I2 CBA Inputs'!U72,0)),0)</f>
        <v>90335.281855746987</v>
      </c>
      <c r="W88" s="18">
        <f>IFERROR('I1 General Inputs'!$A16*(IF(Scenario_Select="Scenario 1",'I2 CBA Inputs'!V$43-'I2 CBA Inputs'!V45,0)+IF(Scenario_Select="Scenario 2",'I2 CBA Inputs'!V$52-'I2 CBA Inputs'!V54,0)+IF(Scenario_Select="Scenario 3",'I2 CBA Inputs'!V$61-'I2 CBA Inputs'!V63,0)+IF(Scenario_Select="Scenario 4",'I2 CBA Inputs'!V$70-'I2 CBA Inputs'!V72,0)),0)</f>
        <v>1372294.0180127323</v>
      </c>
      <c r="X88" s="18">
        <f>IFERROR('I1 General Inputs'!$A16*(IF(Scenario_Select="Scenario 1",'I2 CBA Inputs'!W$43-'I2 CBA Inputs'!W45,0)+IF(Scenario_Select="Scenario 2",'I2 CBA Inputs'!W$52-'I2 CBA Inputs'!W54,0)+IF(Scenario_Select="Scenario 3",'I2 CBA Inputs'!W$61-'I2 CBA Inputs'!W63,0)+IF(Scenario_Select="Scenario 4",'I2 CBA Inputs'!W$70-'I2 CBA Inputs'!W72,0)),0)</f>
        <v>-3.3543571209802132</v>
      </c>
      <c r="Y88" s="18">
        <f>IFERROR('I1 General Inputs'!$A16*(IF(Scenario_Select="Scenario 1",'I2 CBA Inputs'!X$43-'I2 CBA Inputs'!X45,0)+IF(Scenario_Select="Scenario 2",'I2 CBA Inputs'!X$52-'I2 CBA Inputs'!X54,0)+IF(Scenario_Select="Scenario 3",'I2 CBA Inputs'!X$61-'I2 CBA Inputs'!X63,0)+IF(Scenario_Select="Scenario 4",'I2 CBA Inputs'!X$70-'I2 CBA Inputs'!X72,0)),0)</f>
        <v>-3.5477754535268127</v>
      </c>
      <c r="Z88" s="18">
        <f>IFERROR('I1 General Inputs'!$A16*(IF(Scenario_Select="Scenario 1",'I2 CBA Inputs'!Y$43-'I2 CBA Inputs'!Y45,0)+IF(Scenario_Select="Scenario 2",'I2 CBA Inputs'!Y$52-'I2 CBA Inputs'!Y54,0)+IF(Scenario_Select="Scenario 3",'I2 CBA Inputs'!Y$61-'I2 CBA Inputs'!Y63,0)+IF(Scenario_Select="Scenario 4",'I2 CBA Inputs'!Y$70-'I2 CBA Inputs'!Y72,0)),0)</f>
        <v>-32.798252840526402</v>
      </c>
      <c r="AA88" s="18">
        <f>IFERROR('I1 General Inputs'!$A16*(IF(Scenario_Select="Scenario 1",'I2 CBA Inputs'!Z$43-'I2 CBA Inputs'!Z45,0)+IF(Scenario_Select="Scenario 2",'I2 CBA Inputs'!Z$52-'I2 CBA Inputs'!Z54,0)+IF(Scenario_Select="Scenario 3",'I2 CBA Inputs'!Z$61-'I2 CBA Inputs'!Z63,0)+IF(Scenario_Select="Scenario 4",'I2 CBA Inputs'!Z$70-'I2 CBA Inputs'!Z72,0)),0)</f>
        <v>-861783.55761847645</v>
      </c>
      <c r="AB88" s="18">
        <f>IFERROR('I1 General Inputs'!$A16*(IF(Scenario_Select="Scenario 1",'I2 CBA Inputs'!AA$43-'I2 CBA Inputs'!AA45,0)+IF(Scenario_Select="Scenario 2",'I2 CBA Inputs'!AA$52-'I2 CBA Inputs'!AA54,0)+IF(Scenario_Select="Scenario 3",'I2 CBA Inputs'!AA$61-'I2 CBA Inputs'!AA63,0)+IF(Scenario_Select="Scenario 4",'I2 CBA Inputs'!AA$70-'I2 CBA Inputs'!AA72,0)),0)</f>
        <v>-10721361.251199756</v>
      </c>
      <c r="AC88" s="18">
        <f>IFERROR('I1 General Inputs'!$A16*(IF(Scenario_Select="Scenario 1",'I2 CBA Inputs'!AB$43-'I2 CBA Inputs'!AB45,0)+IF(Scenario_Select="Scenario 2",'I2 CBA Inputs'!AB$52-'I2 CBA Inputs'!AB54,0)+IF(Scenario_Select="Scenario 3",'I2 CBA Inputs'!AB$61-'I2 CBA Inputs'!AB63,0)+IF(Scenario_Select="Scenario 4",'I2 CBA Inputs'!AB$70-'I2 CBA Inputs'!AB72,0)),0)</f>
        <v>-8939568.4003828019</v>
      </c>
      <c r="AD88" s="18">
        <f>IFERROR('I1 General Inputs'!$A16*(IF(Scenario_Select="Scenario 1",'I2 CBA Inputs'!AC$43-'I2 CBA Inputs'!AC45,0)+IF(Scenario_Select="Scenario 2",'I2 CBA Inputs'!AC$52-'I2 CBA Inputs'!AC54,0)+IF(Scenario_Select="Scenario 3",'I2 CBA Inputs'!AC$61-'I2 CBA Inputs'!AC63,0)+IF(Scenario_Select="Scenario 4",'I2 CBA Inputs'!AC$70-'I2 CBA Inputs'!AC72,0)),0)</f>
        <v>-5792234.5252484828</v>
      </c>
      <c r="AE88" s="18">
        <f>IFERROR('I1 General Inputs'!$A16*(IF(Scenario_Select="Scenario 1",'I2 CBA Inputs'!AD$43-'I2 CBA Inputs'!AD45,0)+IF(Scenario_Select="Scenario 2",'I2 CBA Inputs'!AD$52-'I2 CBA Inputs'!AD54,0)+IF(Scenario_Select="Scenario 3",'I2 CBA Inputs'!AD$61-'I2 CBA Inputs'!AD63,0)+IF(Scenario_Select="Scenario 4",'I2 CBA Inputs'!AD$70-'I2 CBA Inputs'!AD72,0)),0)</f>
        <v>-583133.48601621389</v>
      </c>
      <c r="AF88" s="18">
        <f>'I1 General Inputs'!$A16*(IF(Scenario_Select="Scenario 1",'I2 CBA Inputs'!AE$43-'I2 CBA Inputs'!AE45,0)+IF(Scenario_Select="Scenario 2",'I2 CBA Inputs'!AE$52-'I2 CBA Inputs'!AE54,0)+IF(Scenario_Select="Scenario 3",'I2 CBA Inputs'!AE$61-'I2 CBA Inputs'!AE63,0)+IF(Scenario_Select="Scenario 4",'I2 CBA Inputs'!AE$70-'I2 CBA Inputs'!AE72,0))</f>
        <v>-5.2783740476778913</v>
      </c>
      <c r="AG88" s="18">
        <f>'I1 General Inputs'!$A16*(IF(Scenario_Select="Scenario 1",'I2 CBA Inputs'!AF$43-'I2 CBA Inputs'!AF45,0)+IF(Scenario_Select="Scenario 2",'I2 CBA Inputs'!AF$52-'I2 CBA Inputs'!AF54,0)+IF(Scenario_Select="Scenario 3",'I2 CBA Inputs'!AF$61-'I2 CBA Inputs'!AF63,0)+IF(Scenario_Select="Scenario 4",'I2 CBA Inputs'!AF$70-'I2 CBA Inputs'!AF72,0))</f>
        <v>0</v>
      </c>
      <c r="AH88" s="18">
        <f>'I1 General Inputs'!$A16*(IF(Scenario_Select="Scenario 1",'I2 CBA Inputs'!AG$43-'I2 CBA Inputs'!AG45,0)+IF(Scenario_Select="Scenario 2",'I2 CBA Inputs'!AG$52-'I2 CBA Inputs'!AG54,0)+IF(Scenario_Select="Scenario 3",'I2 CBA Inputs'!AG$61-'I2 CBA Inputs'!AG63,0)+IF(Scenario_Select="Scenario 4",'I2 CBA Inputs'!AG$70-'I2 CBA Inputs'!AG72,0))</f>
        <v>0</v>
      </c>
      <c r="AI88" s="18">
        <f>'I1 General Inputs'!$A16*(IF(Scenario_Select="Scenario 1",'I2 CBA Inputs'!AH$43-'I2 CBA Inputs'!AH45,0)+IF(Scenario_Select="Scenario 2",'I2 CBA Inputs'!AH$52-'I2 CBA Inputs'!AH54,0)+IF(Scenario_Select="Scenario 3",'I2 CBA Inputs'!AH$61-'I2 CBA Inputs'!AH63,0)+IF(Scenario_Select="Scenario 4",'I2 CBA Inputs'!AH$70-'I2 CBA Inputs'!AH72,0))</f>
        <v>0</v>
      </c>
      <c r="AJ88" s="18">
        <f>'I1 General Inputs'!$A16*(IF(Scenario_Select="Scenario 1",'I2 CBA Inputs'!AI$43-'I2 CBA Inputs'!AI45,0)+IF(Scenario_Select="Scenario 2",'I2 CBA Inputs'!AI$52-'I2 CBA Inputs'!AI54,0)+IF(Scenario_Select="Scenario 3",'I2 CBA Inputs'!AI$61-'I2 CBA Inputs'!AI63,0)+IF(Scenario_Select="Scenario 4",'I2 CBA Inputs'!AI$70-'I2 CBA Inputs'!AI72,0))</f>
        <v>0</v>
      </c>
    </row>
    <row r="89" spans="2:36" x14ac:dyDescent="0.2">
      <c r="B89" s="9">
        <f>+'I1 General Inputs'!$B$17</f>
        <v>3</v>
      </c>
      <c r="C89" s="15" t="str">
        <f>+'I1 General Inputs'!$C$17</f>
        <v>Option 1C</v>
      </c>
      <c r="D89" s="28"/>
      <c r="E89" s="13" t="s">
        <v>35</v>
      </c>
      <c r="F89" s="19">
        <f t="shared" si="25"/>
        <v>21794814.557855465</v>
      </c>
      <c r="G89" s="18">
        <f>IFERROR('I1 General Inputs'!$A17*(IF(Scenario_Select="Scenario 1",'I2 CBA Inputs'!F$43-'I2 CBA Inputs'!F46,0)+IF(Scenario_Select="Scenario 2",'I2 CBA Inputs'!F$52-'I2 CBA Inputs'!F55,0)+IF(Scenario_Select="Scenario 3",'I2 CBA Inputs'!F$61-'I2 CBA Inputs'!F64,0)+IF(Scenario_Select="Scenario 4",'I2 CBA Inputs'!F$70-'I2 CBA Inputs'!F73,0)),0)</f>
        <v>0</v>
      </c>
      <c r="H89" s="18">
        <f>IFERROR('I1 General Inputs'!$A17*(IF(Scenario_Select="Scenario 1",'I2 CBA Inputs'!G$43-'I2 CBA Inputs'!G46,0)+IF(Scenario_Select="Scenario 2",'I2 CBA Inputs'!G$52-'I2 CBA Inputs'!G55,0)+IF(Scenario_Select="Scenario 3",'I2 CBA Inputs'!G$61-'I2 CBA Inputs'!G64,0)+IF(Scenario_Select="Scenario 4",'I2 CBA Inputs'!G$70-'I2 CBA Inputs'!G73,0)),0)</f>
        <v>0.35734748700633645</v>
      </c>
      <c r="I89" s="18">
        <f>IFERROR('I1 General Inputs'!$A17*(IF(Scenario_Select="Scenario 1",'I2 CBA Inputs'!H$43-'I2 CBA Inputs'!H46,0)+IF(Scenario_Select="Scenario 2",'I2 CBA Inputs'!H$52-'I2 CBA Inputs'!H55,0)+IF(Scenario_Select="Scenario 3",'I2 CBA Inputs'!H$61-'I2 CBA Inputs'!H64,0)+IF(Scenario_Select="Scenario 4",'I2 CBA Inputs'!H$70-'I2 CBA Inputs'!H73,0)),0)</f>
        <v>-0.94542298093438148</v>
      </c>
      <c r="J89" s="18">
        <f>IFERROR('I1 General Inputs'!$A17*(IF(Scenario_Select="Scenario 1",'I2 CBA Inputs'!I$43-'I2 CBA Inputs'!I46,0)+IF(Scenario_Select="Scenario 2",'I2 CBA Inputs'!I$52-'I2 CBA Inputs'!I55,0)+IF(Scenario_Select="Scenario 3",'I2 CBA Inputs'!I$61-'I2 CBA Inputs'!I64,0)+IF(Scenario_Select="Scenario 4",'I2 CBA Inputs'!I$70-'I2 CBA Inputs'!I73,0)),0)</f>
        <v>4333786.1660058796</v>
      </c>
      <c r="K89" s="18">
        <f>IFERROR('I1 General Inputs'!$A17*(IF(Scenario_Select="Scenario 1",'I2 CBA Inputs'!J$43-'I2 CBA Inputs'!J46,0)+IF(Scenario_Select="Scenario 2",'I2 CBA Inputs'!J$52-'I2 CBA Inputs'!J55,0)+IF(Scenario_Select="Scenario 3",'I2 CBA Inputs'!J$61-'I2 CBA Inputs'!J64,0)+IF(Scenario_Select="Scenario 4",'I2 CBA Inputs'!J$70-'I2 CBA Inputs'!J73,0)),0)</f>
        <v>328109.87553994358</v>
      </c>
      <c r="L89" s="18">
        <f>IFERROR('I1 General Inputs'!$A17*(IF(Scenario_Select="Scenario 1",'I2 CBA Inputs'!K$43-'I2 CBA Inputs'!K46,0)+IF(Scenario_Select="Scenario 2",'I2 CBA Inputs'!K$52-'I2 CBA Inputs'!K55,0)+IF(Scenario_Select="Scenario 3",'I2 CBA Inputs'!K$61-'I2 CBA Inputs'!K64,0)+IF(Scenario_Select="Scenario 4",'I2 CBA Inputs'!K$70-'I2 CBA Inputs'!K73,0)),0)</f>
        <v>12757926.378802508</v>
      </c>
      <c r="M89" s="18">
        <f>IFERROR('I1 General Inputs'!$A17*(IF(Scenario_Select="Scenario 1",'I2 CBA Inputs'!L$43-'I2 CBA Inputs'!L46,0)+IF(Scenario_Select="Scenario 2",'I2 CBA Inputs'!L$52-'I2 CBA Inputs'!L55,0)+IF(Scenario_Select="Scenario 3",'I2 CBA Inputs'!L$61-'I2 CBA Inputs'!L64,0)+IF(Scenario_Select="Scenario 4",'I2 CBA Inputs'!L$70-'I2 CBA Inputs'!L73,0)),0)</f>
        <v>0.91007690426586008</v>
      </c>
      <c r="N89" s="18">
        <f>IFERROR('I1 General Inputs'!$A17*(IF(Scenario_Select="Scenario 1",'I2 CBA Inputs'!M$43-'I2 CBA Inputs'!M46,0)+IF(Scenario_Select="Scenario 2",'I2 CBA Inputs'!M$52-'I2 CBA Inputs'!M55,0)+IF(Scenario_Select="Scenario 3",'I2 CBA Inputs'!M$61-'I2 CBA Inputs'!M64,0)+IF(Scenario_Select="Scenario 4",'I2 CBA Inputs'!M$70-'I2 CBA Inputs'!M73,0)),0)</f>
        <v>0.96374271519792876</v>
      </c>
      <c r="O89" s="18">
        <f>IFERROR('I1 General Inputs'!$A17*(IF(Scenario_Select="Scenario 1",'I2 CBA Inputs'!N$43-'I2 CBA Inputs'!N46,0)+IF(Scenario_Select="Scenario 2",'I2 CBA Inputs'!N$52-'I2 CBA Inputs'!N55,0)+IF(Scenario_Select="Scenario 3",'I2 CBA Inputs'!N$61-'I2 CBA Inputs'!N64,0)+IF(Scenario_Select="Scenario 4",'I2 CBA Inputs'!N$70-'I2 CBA Inputs'!N73,0)),0)</f>
        <v>1.0235295273205929</v>
      </c>
      <c r="P89" s="18">
        <f>IFERROR('I1 General Inputs'!$A17*(IF(Scenario_Select="Scenario 1",'I2 CBA Inputs'!O$43-'I2 CBA Inputs'!O46,0)+IF(Scenario_Select="Scenario 2",'I2 CBA Inputs'!O$52-'I2 CBA Inputs'!O55,0)+IF(Scenario_Select="Scenario 3",'I2 CBA Inputs'!O$61-'I2 CBA Inputs'!O64,0)+IF(Scenario_Select="Scenario 4",'I2 CBA Inputs'!O$70-'I2 CBA Inputs'!O73,0)),0)</f>
        <v>-486539.22137794644</v>
      </c>
      <c r="Q89" s="18">
        <f>IFERROR('I1 General Inputs'!$A17*(IF(Scenario_Select="Scenario 1",'I2 CBA Inputs'!P$43-'I2 CBA Inputs'!P46,0)+IF(Scenario_Select="Scenario 2",'I2 CBA Inputs'!P$52-'I2 CBA Inputs'!P55,0)+IF(Scenario_Select="Scenario 3",'I2 CBA Inputs'!P$61-'I2 CBA Inputs'!P64,0)+IF(Scenario_Select="Scenario 4",'I2 CBA Inputs'!P$70-'I2 CBA Inputs'!P73,0)),0)</f>
        <v>6678336.999017261</v>
      </c>
      <c r="R89" s="18">
        <f>IFERROR('I1 General Inputs'!$A17*(IF(Scenario_Select="Scenario 1",'I2 CBA Inputs'!Q$43-'I2 CBA Inputs'!Q46,0)+IF(Scenario_Select="Scenario 2",'I2 CBA Inputs'!Q$52-'I2 CBA Inputs'!Q55,0)+IF(Scenario_Select="Scenario 3",'I2 CBA Inputs'!Q$61-'I2 CBA Inputs'!Q64,0)+IF(Scenario_Select="Scenario 4",'I2 CBA Inputs'!Q$70-'I2 CBA Inputs'!Q73,0)),0)</f>
        <v>2842666.9876885382</v>
      </c>
      <c r="S89" s="18">
        <f>IFERROR('I1 General Inputs'!$A17*(IF(Scenario_Select="Scenario 1",'I2 CBA Inputs'!R$43-'I2 CBA Inputs'!R46,0)+IF(Scenario_Select="Scenario 2",'I2 CBA Inputs'!R$52-'I2 CBA Inputs'!R55,0)+IF(Scenario_Select="Scenario 3",'I2 CBA Inputs'!R$61-'I2 CBA Inputs'!R64,0)+IF(Scenario_Select="Scenario 4",'I2 CBA Inputs'!R$70-'I2 CBA Inputs'!R73,0)),0)</f>
        <v>84296.17031393759</v>
      </c>
      <c r="T89" s="18">
        <f>IFERROR('I1 General Inputs'!$A17*(IF(Scenario_Select="Scenario 1",'I2 CBA Inputs'!S$43-'I2 CBA Inputs'!S46,0)+IF(Scenario_Select="Scenario 2",'I2 CBA Inputs'!S$52-'I2 CBA Inputs'!S55,0)+IF(Scenario_Select="Scenario 3",'I2 CBA Inputs'!S$61-'I2 CBA Inputs'!S64,0)+IF(Scenario_Select="Scenario 4",'I2 CBA Inputs'!S$70-'I2 CBA Inputs'!S73,0)),0)</f>
        <v>142975.14100550301</v>
      </c>
      <c r="U89" s="18">
        <f>IFERROR('I1 General Inputs'!$A17*(IF(Scenario_Select="Scenario 1",'I2 CBA Inputs'!T$43-'I2 CBA Inputs'!T46,0)+IF(Scenario_Select="Scenario 2",'I2 CBA Inputs'!T$52-'I2 CBA Inputs'!T55,0)+IF(Scenario_Select="Scenario 3",'I2 CBA Inputs'!T$61-'I2 CBA Inputs'!T64,0)+IF(Scenario_Select="Scenario 4",'I2 CBA Inputs'!T$70-'I2 CBA Inputs'!T73,0)),0)</f>
        <v>2230581.9421149008</v>
      </c>
      <c r="V89" s="18">
        <f>IFERROR('I1 General Inputs'!$A17*(IF(Scenario_Select="Scenario 1",'I2 CBA Inputs'!U$43-'I2 CBA Inputs'!U46,0)+IF(Scenario_Select="Scenario 2",'I2 CBA Inputs'!U$52-'I2 CBA Inputs'!U55,0)+IF(Scenario_Select="Scenario 3",'I2 CBA Inputs'!U$61-'I2 CBA Inputs'!U64,0)+IF(Scenario_Select="Scenario 4",'I2 CBA Inputs'!U$70-'I2 CBA Inputs'!U73,0)),0)</f>
        <v>1008227.5706745005</v>
      </c>
      <c r="W89" s="18">
        <f>IFERROR('I1 General Inputs'!$A17*(IF(Scenario_Select="Scenario 1",'I2 CBA Inputs'!V$43-'I2 CBA Inputs'!V46,0)+IF(Scenario_Select="Scenario 2",'I2 CBA Inputs'!V$52-'I2 CBA Inputs'!V55,0)+IF(Scenario_Select="Scenario 3",'I2 CBA Inputs'!V$61-'I2 CBA Inputs'!V64,0)+IF(Scenario_Select="Scenario 4",'I2 CBA Inputs'!V$70-'I2 CBA Inputs'!V73,0)),0)</f>
        <v>302401.23824894428</v>
      </c>
      <c r="X89" s="18">
        <f>IFERROR('I1 General Inputs'!$A17*(IF(Scenario_Select="Scenario 1",'I2 CBA Inputs'!W$43-'I2 CBA Inputs'!W46,0)+IF(Scenario_Select="Scenario 2",'I2 CBA Inputs'!W$52-'I2 CBA Inputs'!W55,0)+IF(Scenario_Select="Scenario 3",'I2 CBA Inputs'!W$61-'I2 CBA Inputs'!W64,0)+IF(Scenario_Select="Scenario 4",'I2 CBA Inputs'!W$70-'I2 CBA Inputs'!W73,0)),0)</f>
        <v>1.7037973414461076</v>
      </c>
      <c r="Y89" s="18">
        <f>IFERROR('I1 General Inputs'!$A17*(IF(Scenario_Select="Scenario 1",'I2 CBA Inputs'!X$43-'I2 CBA Inputs'!X46,0)+IF(Scenario_Select="Scenario 2",'I2 CBA Inputs'!X$52-'I2 CBA Inputs'!X55,0)+IF(Scenario_Select="Scenario 3",'I2 CBA Inputs'!X$61-'I2 CBA Inputs'!X64,0)+IF(Scenario_Select="Scenario 4",'I2 CBA Inputs'!X$70-'I2 CBA Inputs'!X73,0)),0)</f>
        <v>1.8020739869472999</v>
      </c>
      <c r="Z89" s="18">
        <f>IFERROR('I1 General Inputs'!$A17*(IF(Scenario_Select="Scenario 1",'I2 CBA Inputs'!Y$43-'I2 CBA Inputs'!Y46,0)+IF(Scenario_Select="Scenario 2",'I2 CBA Inputs'!Y$52-'I2 CBA Inputs'!Y55,0)+IF(Scenario_Select="Scenario 3",'I2 CBA Inputs'!Y$61-'I2 CBA Inputs'!Y64,0)+IF(Scenario_Select="Scenario 4",'I2 CBA Inputs'!Y$70-'I2 CBA Inputs'!Y73,0)),0)</f>
        <v>3.0958257624879479</v>
      </c>
      <c r="AA89" s="18">
        <f>IFERROR('I1 General Inputs'!$A17*(IF(Scenario_Select="Scenario 1",'I2 CBA Inputs'!Z$43-'I2 CBA Inputs'!Z46,0)+IF(Scenario_Select="Scenario 2",'I2 CBA Inputs'!Z$52-'I2 CBA Inputs'!Z55,0)+IF(Scenario_Select="Scenario 3",'I2 CBA Inputs'!Z$61-'I2 CBA Inputs'!Z64,0)+IF(Scenario_Select="Scenario 4",'I2 CBA Inputs'!Z$70-'I2 CBA Inputs'!Z73,0)),0)</f>
        <v>5204282.9605981819</v>
      </c>
      <c r="AB89" s="18">
        <f>IFERROR('I1 General Inputs'!$A17*(IF(Scenario_Select="Scenario 1",'I2 CBA Inputs'!AA$43-'I2 CBA Inputs'!AA46,0)+IF(Scenario_Select="Scenario 2",'I2 CBA Inputs'!AA$52-'I2 CBA Inputs'!AA55,0)+IF(Scenario_Select="Scenario 3",'I2 CBA Inputs'!AA$61-'I2 CBA Inputs'!AA64,0)+IF(Scenario_Select="Scenario 4",'I2 CBA Inputs'!AA$70-'I2 CBA Inputs'!AA73,0)),0)</f>
        <v>402797.81838053092</v>
      </c>
      <c r="AC89" s="18">
        <f>IFERROR('I1 General Inputs'!$A17*(IF(Scenario_Select="Scenario 1",'I2 CBA Inputs'!AB$43-'I2 CBA Inputs'!AB46,0)+IF(Scenario_Select="Scenario 2",'I2 CBA Inputs'!AB$52-'I2 CBA Inputs'!AB55,0)+IF(Scenario_Select="Scenario 3",'I2 CBA Inputs'!AB$61-'I2 CBA Inputs'!AB64,0)+IF(Scenario_Select="Scenario 4",'I2 CBA Inputs'!AB$70-'I2 CBA Inputs'!AB73,0)),0)</f>
        <v>480441.66870178282</v>
      </c>
      <c r="AD89" s="18">
        <f>IFERROR('I1 General Inputs'!$A17*(IF(Scenario_Select="Scenario 1",'I2 CBA Inputs'!AC$43-'I2 CBA Inputs'!AC46,0)+IF(Scenario_Select="Scenario 2",'I2 CBA Inputs'!AC$52-'I2 CBA Inputs'!AC55,0)+IF(Scenario_Select="Scenario 3",'I2 CBA Inputs'!AC$61-'I2 CBA Inputs'!AC64,0)+IF(Scenario_Select="Scenario 4",'I2 CBA Inputs'!AC$70-'I2 CBA Inputs'!AC73,0)),0)</f>
        <v>538556.11779142171</v>
      </c>
      <c r="AE89" s="18">
        <f>IFERROR('I1 General Inputs'!$A17*(IF(Scenario_Select="Scenario 1",'I2 CBA Inputs'!AD$43-'I2 CBA Inputs'!AD46,0)+IF(Scenario_Select="Scenario 2",'I2 CBA Inputs'!AD$52-'I2 CBA Inputs'!AD55,0)+IF(Scenario_Select="Scenario 3",'I2 CBA Inputs'!AD$61-'I2 CBA Inputs'!AD64,0)+IF(Scenario_Select="Scenario 4",'I2 CBA Inputs'!AD$70-'I2 CBA Inputs'!AD73,0)),0)</f>
        <v>-1555817.6399747133</v>
      </c>
      <c r="AF89" s="18">
        <f>'I1 General Inputs'!$A17*(IF(Scenario_Select="Scenario 1",'I2 CBA Inputs'!AE$43-'I2 CBA Inputs'!AE46,0)+IF(Scenario_Select="Scenario 2",'I2 CBA Inputs'!AE$52-'I2 CBA Inputs'!AE55,0)+IF(Scenario_Select="Scenario 3",'I2 CBA Inputs'!AE$61-'I2 CBA Inputs'!AE64,0)+IF(Scenario_Select="Scenario 4",'I2 CBA Inputs'!AE$70-'I2 CBA Inputs'!AE73,0))</f>
        <v>2.6810936169136452</v>
      </c>
      <c r="AG89" s="18">
        <f>'I1 General Inputs'!$A17*(IF(Scenario_Select="Scenario 1",'I2 CBA Inputs'!AF$43-'I2 CBA Inputs'!AF46,0)+IF(Scenario_Select="Scenario 2",'I2 CBA Inputs'!AF$52-'I2 CBA Inputs'!AF55,0)+IF(Scenario_Select="Scenario 3",'I2 CBA Inputs'!AF$61-'I2 CBA Inputs'!AF64,0)+IF(Scenario_Select="Scenario 4",'I2 CBA Inputs'!AF$70-'I2 CBA Inputs'!AF73,0))</f>
        <v>0</v>
      </c>
      <c r="AH89" s="18">
        <f>'I1 General Inputs'!$A17*(IF(Scenario_Select="Scenario 1",'I2 CBA Inputs'!AG$43-'I2 CBA Inputs'!AG46,0)+IF(Scenario_Select="Scenario 2",'I2 CBA Inputs'!AG$52-'I2 CBA Inputs'!AG55,0)+IF(Scenario_Select="Scenario 3",'I2 CBA Inputs'!AG$61-'I2 CBA Inputs'!AG64,0)+IF(Scenario_Select="Scenario 4",'I2 CBA Inputs'!AG$70-'I2 CBA Inputs'!AG73,0))</f>
        <v>0</v>
      </c>
      <c r="AI89" s="18">
        <f>'I1 General Inputs'!$A17*(IF(Scenario_Select="Scenario 1",'I2 CBA Inputs'!AH$43-'I2 CBA Inputs'!AH46,0)+IF(Scenario_Select="Scenario 2",'I2 CBA Inputs'!AH$52-'I2 CBA Inputs'!AH55,0)+IF(Scenario_Select="Scenario 3",'I2 CBA Inputs'!AH$61-'I2 CBA Inputs'!AH64,0)+IF(Scenario_Select="Scenario 4",'I2 CBA Inputs'!AH$70-'I2 CBA Inputs'!AH73,0))</f>
        <v>0</v>
      </c>
      <c r="AJ89" s="18">
        <f>'I1 General Inputs'!$A17*(IF(Scenario_Select="Scenario 1",'I2 CBA Inputs'!AI$43-'I2 CBA Inputs'!AI46,0)+IF(Scenario_Select="Scenario 2",'I2 CBA Inputs'!AI$52-'I2 CBA Inputs'!AI55,0)+IF(Scenario_Select="Scenario 3",'I2 CBA Inputs'!AI$61-'I2 CBA Inputs'!AI64,0)+IF(Scenario_Select="Scenario 4",'I2 CBA Inputs'!AI$70-'I2 CBA Inputs'!AI73,0))</f>
        <v>0</v>
      </c>
    </row>
    <row r="90" spans="2:36" x14ac:dyDescent="0.2">
      <c r="B90" s="9">
        <f>+'I1 General Inputs'!$B$18</f>
        <v>4</v>
      </c>
      <c r="C90" s="15" t="str">
        <f>+'I1 General Inputs'!$C$18</f>
        <v>Option 1D</v>
      </c>
      <c r="D90" s="28"/>
      <c r="E90" s="13" t="s">
        <v>35</v>
      </c>
      <c r="F90" s="19">
        <f t="shared" si="25"/>
        <v>11888680.416165991</v>
      </c>
      <c r="G90" s="18">
        <f>IFERROR('I1 General Inputs'!$A18*(IF(Scenario_Select="Scenario 1",'I2 CBA Inputs'!F$43-'I2 CBA Inputs'!F47,0)+IF(Scenario_Select="Scenario 2",'I2 CBA Inputs'!F$52-'I2 CBA Inputs'!F56,0)+IF(Scenario_Select="Scenario 3",'I2 CBA Inputs'!F$61-'I2 CBA Inputs'!F65,0)+IF(Scenario_Select="Scenario 4",'I2 CBA Inputs'!F$70-'I2 CBA Inputs'!F74,0)),0)</f>
        <v>0</v>
      </c>
      <c r="H90" s="18">
        <f>IFERROR('I1 General Inputs'!$A18*(IF(Scenario_Select="Scenario 1",'I2 CBA Inputs'!G$43-'I2 CBA Inputs'!G47,0)+IF(Scenario_Select="Scenario 2",'I2 CBA Inputs'!G$52-'I2 CBA Inputs'!G56,0)+IF(Scenario_Select="Scenario 3",'I2 CBA Inputs'!G$61-'I2 CBA Inputs'!G65,0)+IF(Scenario_Select="Scenario 4",'I2 CBA Inputs'!G$70-'I2 CBA Inputs'!G74,0)),0)</f>
        <v>0.40707507904153317</v>
      </c>
      <c r="I90" s="18">
        <f>IFERROR('I1 General Inputs'!$A18*(IF(Scenario_Select="Scenario 1",'I2 CBA Inputs'!H$43-'I2 CBA Inputs'!H47,0)+IF(Scenario_Select="Scenario 2",'I2 CBA Inputs'!H$52-'I2 CBA Inputs'!H56,0)+IF(Scenario_Select="Scenario 3",'I2 CBA Inputs'!H$61-'I2 CBA Inputs'!H65,0)+IF(Scenario_Select="Scenario 4",'I2 CBA Inputs'!H$70-'I2 CBA Inputs'!H74,0)),0)</f>
        <v>-0.82924007996916771</v>
      </c>
      <c r="J90" s="18">
        <f>IFERROR('I1 General Inputs'!$A18*(IF(Scenario_Select="Scenario 1",'I2 CBA Inputs'!I$43-'I2 CBA Inputs'!I47,0)+IF(Scenario_Select="Scenario 2",'I2 CBA Inputs'!I$52-'I2 CBA Inputs'!I56,0)+IF(Scenario_Select="Scenario 3",'I2 CBA Inputs'!I$61-'I2 CBA Inputs'!I65,0)+IF(Scenario_Select="Scenario 4",'I2 CBA Inputs'!I$70-'I2 CBA Inputs'!I74,0)),0)</f>
        <v>2838273.9772446007</v>
      </c>
      <c r="K90" s="18">
        <f>IFERROR('I1 General Inputs'!$A18*(IF(Scenario_Select="Scenario 1",'I2 CBA Inputs'!J$43-'I2 CBA Inputs'!J47,0)+IF(Scenario_Select="Scenario 2",'I2 CBA Inputs'!J$52-'I2 CBA Inputs'!J56,0)+IF(Scenario_Select="Scenario 3",'I2 CBA Inputs'!J$61-'I2 CBA Inputs'!J65,0)+IF(Scenario_Select="Scenario 4",'I2 CBA Inputs'!J$70-'I2 CBA Inputs'!J74,0)),0)</f>
        <v>-4049143.8828582764</v>
      </c>
      <c r="L90" s="18">
        <f>IFERROR('I1 General Inputs'!$A18*(IF(Scenario_Select="Scenario 1",'I2 CBA Inputs'!K$43-'I2 CBA Inputs'!K47,0)+IF(Scenario_Select="Scenario 2",'I2 CBA Inputs'!K$52-'I2 CBA Inputs'!K56,0)+IF(Scenario_Select="Scenario 3",'I2 CBA Inputs'!K$61-'I2 CBA Inputs'!K65,0)+IF(Scenario_Select="Scenario 4",'I2 CBA Inputs'!K$70-'I2 CBA Inputs'!K74,0)),0)</f>
        <v>8626709.9298444092</v>
      </c>
      <c r="M90" s="18">
        <f>IFERROR('I1 General Inputs'!$A18*(IF(Scenario_Select="Scenario 1",'I2 CBA Inputs'!L$43-'I2 CBA Inputs'!L47,0)+IF(Scenario_Select="Scenario 2",'I2 CBA Inputs'!L$52-'I2 CBA Inputs'!L56,0)+IF(Scenario_Select="Scenario 3",'I2 CBA Inputs'!L$61-'I2 CBA Inputs'!L65,0)+IF(Scenario_Select="Scenario 4",'I2 CBA Inputs'!L$70-'I2 CBA Inputs'!L74,0)),0)</f>
        <v>1.0744971297731838</v>
      </c>
      <c r="N90" s="18">
        <f>IFERROR('I1 General Inputs'!$A18*(IF(Scenario_Select="Scenario 1",'I2 CBA Inputs'!M$43-'I2 CBA Inputs'!M47,0)+IF(Scenario_Select="Scenario 2",'I2 CBA Inputs'!M$52-'I2 CBA Inputs'!M56,0)+IF(Scenario_Select="Scenario 3",'I2 CBA Inputs'!M$61-'I2 CBA Inputs'!M65,0)+IF(Scenario_Select="Scenario 4",'I2 CBA Inputs'!M$70-'I2 CBA Inputs'!M74,0)),0)</f>
        <v>1.1378572089970675</v>
      </c>
      <c r="O90" s="18">
        <f>IFERROR('I1 General Inputs'!$A18*(IF(Scenario_Select="Scenario 1",'I2 CBA Inputs'!N$43-'I2 CBA Inputs'!N47,0)+IF(Scenario_Select="Scenario 2",'I2 CBA Inputs'!N$52-'I2 CBA Inputs'!N56,0)+IF(Scenario_Select="Scenario 3",'I2 CBA Inputs'!N$61-'I2 CBA Inputs'!N65,0)+IF(Scenario_Select="Scenario 4",'I2 CBA Inputs'!N$70-'I2 CBA Inputs'!N74,0)),0)</f>
        <v>1.2084461268123019</v>
      </c>
      <c r="P90" s="18">
        <f>IFERROR('I1 General Inputs'!$A18*(IF(Scenario_Select="Scenario 1",'I2 CBA Inputs'!O$43-'I2 CBA Inputs'!O47,0)+IF(Scenario_Select="Scenario 2",'I2 CBA Inputs'!O$52-'I2 CBA Inputs'!O56,0)+IF(Scenario_Select="Scenario 3",'I2 CBA Inputs'!O$61-'I2 CBA Inputs'!O65,0)+IF(Scenario_Select="Scenario 4",'I2 CBA Inputs'!O$70-'I2 CBA Inputs'!O74,0)),0)</f>
        <v>-486599.15840969235</v>
      </c>
      <c r="Q90" s="18">
        <f>IFERROR('I1 General Inputs'!$A18*(IF(Scenario_Select="Scenario 1",'I2 CBA Inputs'!P$43-'I2 CBA Inputs'!P47,0)+IF(Scenario_Select="Scenario 2",'I2 CBA Inputs'!P$52-'I2 CBA Inputs'!P56,0)+IF(Scenario_Select="Scenario 3",'I2 CBA Inputs'!P$61-'I2 CBA Inputs'!P65,0)+IF(Scenario_Select="Scenario 4",'I2 CBA Inputs'!P$70-'I2 CBA Inputs'!P74,0)),0)</f>
        <v>6693413.8778256178</v>
      </c>
      <c r="R90" s="18">
        <f>IFERROR('I1 General Inputs'!$A18*(IF(Scenario_Select="Scenario 1",'I2 CBA Inputs'!Q$43-'I2 CBA Inputs'!Q47,0)+IF(Scenario_Select="Scenario 2",'I2 CBA Inputs'!Q$52-'I2 CBA Inputs'!Q56,0)+IF(Scenario_Select="Scenario 3",'I2 CBA Inputs'!Q$61-'I2 CBA Inputs'!Q65,0)+IF(Scenario_Select="Scenario 4",'I2 CBA Inputs'!Q$70-'I2 CBA Inputs'!Q74,0)),0)</f>
        <v>1791683.6513972962</v>
      </c>
      <c r="S90" s="18">
        <f>IFERROR('I1 General Inputs'!$A18*(IF(Scenario_Select="Scenario 1",'I2 CBA Inputs'!R$43-'I2 CBA Inputs'!R47,0)+IF(Scenario_Select="Scenario 2",'I2 CBA Inputs'!R$52-'I2 CBA Inputs'!R56,0)+IF(Scenario_Select="Scenario 3",'I2 CBA Inputs'!R$61-'I2 CBA Inputs'!R65,0)+IF(Scenario_Select="Scenario 4",'I2 CBA Inputs'!R$70-'I2 CBA Inputs'!R74,0)),0)</f>
        <v>127104.25039969943</v>
      </c>
      <c r="T90" s="18">
        <f>IFERROR('I1 General Inputs'!$A18*(IF(Scenario_Select="Scenario 1",'I2 CBA Inputs'!S$43-'I2 CBA Inputs'!S47,0)+IF(Scenario_Select="Scenario 2",'I2 CBA Inputs'!S$52-'I2 CBA Inputs'!S56,0)+IF(Scenario_Select="Scenario 3",'I2 CBA Inputs'!S$61-'I2 CBA Inputs'!S65,0)+IF(Scenario_Select="Scenario 4",'I2 CBA Inputs'!S$70-'I2 CBA Inputs'!S74,0)),0)</f>
        <v>242762.46229389496</v>
      </c>
      <c r="U90" s="18">
        <f>IFERROR('I1 General Inputs'!$A18*(IF(Scenario_Select="Scenario 1",'I2 CBA Inputs'!T$43-'I2 CBA Inputs'!T47,0)+IF(Scenario_Select="Scenario 2",'I2 CBA Inputs'!T$52-'I2 CBA Inputs'!T56,0)+IF(Scenario_Select="Scenario 3",'I2 CBA Inputs'!T$61-'I2 CBA Inputs'!T65,0)+IF(Scenario_Select="Scenario 4",'I2 CBA Inputs'!T$70-'I2 CBA Inputs'!T74,0)),0)</f>
        <v>134178.42766015977</v>
      </c>
      <c r="V90" s="18">
        <f>IFERROR('I1 General Inputs'!$A18*(IF(Scenario_Select="Scenario 1",'I2 CBA Inputs'!U$43-'I2 CBA Inputs'!U47,0)+IF(Scenario_Select="Scenario 2",'I2 CBA Inputs'!U$52-'I2 CBA Inputs'!U56,0)+IF(Scenario_Select="Scenario 3",'I2 CBA Inputs'!U$61-'I2 CBA Inputs'!U65,0)+IF(Scenario_Select="Scenario 4",'I2 CBA Inputs'!U$70-'I2 CBA Inputs'!U74,0)),0)</f>
        <v>1008227.8448850268</v>
      </c>
      <c r="W90" s="18">
        <f>IFERROR('I1 General Inputs'!$A18*(IF(Scenario_Select="Scenario 1",'I2 CBA Inputs'!V$43-'I2 CBA Inputs'!V47,0)+IF(Scenario_Select="Scenario 2",'I2 CBA Inputs'!V$52-'I2 CBA Inputs'!V56,0)+IF(Scenario_Select="Scenario 3",'I2 CBA Inputs'!V$61-'I2 CBA Inputs'!V65,0)+IF(Scenario_Select="Scenario 4",'I2 CBA Inputs'!V$70-'I2 CBA Inputs'!V74,0)),0)</f>
        <v>348600.28590017557</v>
      </c>
      <c r="X90" s="18">
        <f>IFERROR('I1 General Inputs'!$A18*(IF(Scenario_Select="Scenario 1",'I2 CBA Inputs'!W$43-'I2 CBA Inputs'!W47,0)+IF(Scenario_Select="Scenario 2",'I2 CBA Inputs'!W$52-'I2 CBA Inputs'!W56,0)+IF(Scenario_Select="Scenario 3",'I2 CBA Inputs'!W$61-'I2 CBA Inputs'!W65,0)+IF(Scenario_Select="Scenario 4",'I2 CBA Inputs'!W$70-'I2 CBA Inputs'!W74,0)),0)</f>
        <v>2.0116095834015408</v>
      </c>
      <c r="Y90" s="18">
        <f>IFERROR('I1 General Inputs'!$A18*(IF(Scenario_Select="Scenario 1",'I2 CBA Inputs'!X$43-'I2 CBA Inputs'!X47,0)+IF(Scenario_Select="Scenario 2",'I2 CBA Inputs'!X$52-'I2 CBA Inputs'!X56,0)+IF(Scenario_Select="Scenario 3",'I2 CBA Inputs'!X$61-'I2 CBA Inputs'!X65,0)+IF(Scenario_Select="Scenario 4",'I2 CBA Inputs'!X$70-'I2 CBA Inputs'!X74,0)),0)</f>
        <v>2.127641664415167</v>
      </c>
      <c r="Z90" s="18">
        <f>IFERROR('I1 General Inputs'!$A18*(IF(Scenario_Select="Scenario 1",'I2 CBA Inputs'!Y$43-'I2 CBA Inputs'!Y47,0)+IF(Scenario_Select="Scenario 2",'I2 CBA Inputs'!Y$52-'I2 CBA Inputs'!Y56,0)+IF(Scenario_Select="Scenario 3",'I2 CBA Inputs'!Y$61-'I2 CBA Inputs'!Y65,0)+IF(Scenario_Select="Scenario 4",'I2 CBA Inputs'!Y$70-'I2 CBA Inputs'!Y74,0)),0)</f>
        <v>-26.344673791900277</v>
      </c>
      <c r="AA90" s="18">
        <f>IFERROR('I1 General Inputs'!$A18*(IF(Scenario_Select="Scenario 1",'I2 CBA Inputs'!Z$43-'I2 CBA Inputs'!Z47,0)+IF(Scenario_Select="Scenario 2",'I2 CBA Inputs'!Z$52-'I2 CBA Inputs'!Z56,0)+IF(Scenario_Select="Scenario 3",'I2 CBA Inputs'!Z$61-'I2 CBA Inputs'!Z65,0)+IF(Scenario_Select="Scenario 4",'I2 CBA Inputs'!Z$70-'I2 CBA Inputs'!Z74,0)),0)</f>
        <v>202316.83991766721</v>
      </c>
      <c r="AB90" s="18">
        <f>IFERROR('I1 General Inputs'!$A18*(IF(Scenario_Select="Scenario 1",'I2 CBA Inputs'!AA$43-'I2 CBA Inputs'!AA47,0)+IF(Scenario_Select="Scenario 2",'I2 CBA Inputs'!AA$52-'I2 CBA Inputs'!AA56,0)+IF(Scenario_Select="Scenario 3",'I2 CBA Inputs'!AA$61-'I2 CBA Inputs'!AA65,0)+IF(Scenario_Select="Scenario 4",'I2 CBA Inputs'!AA$70-'I2 CBA Inputs'!AA74,0)),0)</f>
        <v>1532506.8493291512</v>
      </c>
      <c r="AC90" s="18">
        <f>IFERROR('I1 General Inputs'!$A18*(IF(Scenario_Select="Scenario 1",'I2 CBA Inputs'!AB$43-'I2 CBA Inputs'!AB47,0)+IF(Scenario_Select="Scenario 2",'I2 CBA Inputs'!AB$52-'I2 CBA Inputs'!AB56,0)+IF(Scenario_Select="Scenario 3",'I2 CBA Inputs'!AB$61-'I2 CBA Inputs'!AB65,0)+IF(Scenario_Select="Scenario 4",'I2 CBA Inputs'!AB$70-'I2 CBA Inputs'!AB74,0)),0)</f>
        <v>1076094.8191818744</v>
      </c>
      <c r="AD90" s="18">
        <f>IFERROR('I1 General Inputs'!$A18*(IF(Scenario_Select="Scenario 1",'I2 CBA Inputs'!AC$43-'I2 CBA Inputs'!AC47,0)+IF(Scenario_Select="Scenario 2",'I2 CBA Inputs'!AC$52-'I2 CBA Inputs'!AC56,0)+IF(Scenario_Select="Scenario 3",'I2 CBA Inputs'!AC$61-'I2 CBA Inputs'!AC65,0)+IF(Scenario_Select="Scenario 4",'I2 CBA Inputs'!AC$70-'I2 CBA Inputs'!AC74,0)),0)</f>
        <v>467828.52578479797</v>
      </c>
      <c r="AE90" s="18">
        <f>IFERROR('I1 General Inputs'!$A18*(IF(Scenario_Select="Scenario 1",'I2 CBA Inputs'!AD$43-'I2 CBA Inputs'!AD47,0)+IF(Scenario_Select="Scenario 2",'I2 CBA Inputs'!AD$52-'I2 CBA Inputs'!AD56,0)+IF(Scenario_Select="Scenario 3",'I2 CBA Inputs'!AD$61-'I2 CBA Inputs'!AD65,0)+IF(Scenario_Select="Scenario 4",'I2 CBA Inputs'!AD$70-'I2 CBA Inputs'!AD74,0)),0)</f>
        <v>181222.0798048377</v>
      </c>
      <c r="AF90" s="18">
        <f>'I1 General Inputs'!$A18*(IF(Scenario_Select="Scenario 1",'I2 CBA Inputs'!AE$43-'I2 CBA Inputs'!AE47,0)+IF(Scenario_Select="Scenario 2",'I2 CBA Inputs'!AE$52-'I2 CBA Inputs'!AE56,0)+IF(Scenario_Select="Scenario 3",'I2 CBA Inputs'!AE$61-'I2 CBA Inputs'!AE65,0)+IF(Scenario_Select="Scenario 4",'I2 CBA Inputs'!AE$70-'I2 CBA Inputs'!AE74,0))</f>
        <v>3.165458929498115</v>
      </c>
      <c r="AG90" s="18">
        <f>'I1 General Inputs'!$A18*(IF(Scenario_Select="Scenario 1",'I2 CBA Inputs'!AF$43-'I2 CBA Inputs'!AF47,0)+IF(Scenario_Select="Scenario 2",'I2 CBA Inputs'!AF$52-'I2 CBA Inputs'!AF56,0)+IF(Scenario_Select="Scenario 3",'I2 CBA Inputs'!AF$61-'I2 CBA Inputs'!AF65,0)+IF(Scenario_Select="Scenario 4",'I2 CBA Inputs'!AF$70-'I2 CBA Inputs'!AF74,0))</f>
        <v>0</v>
      </c>
      <c r="AH90" s="18">
        <f>'I1 General Inputs'!$A18*(IF(Scenario_Select="Scenario 1",'I2 CBA Inputs'!AG$43-'I2 CBA Inputs'!AG47,0)+IF(Scenario_Select="Scenario 2",'I2 CBA Inputs'!AG$52-'I2 CBA Inputs'!AG56,0)+IF(Scenario_Select="Scenario 3",'I2 CBA Inputs'!AG$61-'I2 CBA Inputs'!AG65,0)+IF(Scenario_Select="Scenario 4",'I2 CBA Inputs'!AG$70-'I2 CBA Inputs'!AG74,0))</f>
        <v>0</v>
      </c>
      <c r="AI90" s="18">
        <f>'I1 General Inputs'!$A18*(IF(Scenario_Select="Scenario 1",'I2 CBA Inputs'!AH$43-'I2 CBA Inputs'!AH47,0)+IF(Scenario_Select="Scenario 2",'I2 CBA Inputs'!AH$52-'I2 CBA Inputs'!AH56,0)+IF(Scenario_Select="Scenario 3",'I2 CBA Inputs'!AH$61-'I2 CBA Inputs'!AH65,0)+IF(Scenario_Select="Scenario 4",'I2 CBA Inputs'!AH$70-'I2 CBA Inputs'!AH74,0))</f>
        <v>0</v>
      </c>
      <c r="AJ90" s="18">
        <f>'I1 General Inputs'!$A18*(IF(Scenario_Select="Scenario 1",'I2 CBA Inputs'!AI$43-'I2 CBA Inputs'!AI47,0)+IF(Scenario_Select="Scenario 2",'I2 CBA Inputs'!AI$52-'I2 CBA Inputs'!AI56,0)+IF(Scenario_Select="Scenario 3",'I2 CBA Inputs'!AI$61-'I2 CBA Inputs'!AI65,0)+IF(Scenario_Select="Scenario 4",'I2 CBA Inputs'!AI$70-'I2 CBA Inputs'!AI74,0))</f>
        <v>0</v>
      </c>
    </row>
    <row r="91" spans="2:36" x14ac:dyDescent="0.2">
      <c r="B91" s="9">
        <f>+'I1 General Inputs'!$B$19</f>
        <v>5</v>
      </c>
      <c r="C91" s="15" t="str">
        <f>+'I1 General Inputs'!$C$19</f>
        <v>Option 5A</v>
      </c>
      <c r="D91" s="28"/>
      <c r="E91" s="13" t="s">
        <v>35</v>
      </c>
      <c r="F91" s="19">
        <f t="shared" si="25"/>
        <v>0</v>
      </c>
      <c r="G91" s="18">
        <f>IFERROR('I1 General Inputs'!$A19*(IF(Scenario_Select="Scenario 1",'I2 CBA Inputs'!F$43-'I2 CBA Inputs'!F48,0)+IF(Scenario_Select="Scenario 2",'I2 CBA Inputs'!F$52-'I2 CBA Inputs'!F57,0)+IF(Scenario_Select="Scenario 3",'I2 CBA Inputs'!F$61-'I2 CBA Inputs'!F66,0)+IF(Scenario_Select="Scenario 4",'I2 CBA Inputs'!F$70-'I2 CBA Inputs'!F75,0)),0)</f>
        <v>0</v>
      </c>
      <c r="H91" s="18">
        <f>IFERROR('I1 General Inputs'!$A19*(IF(Scenario_Select="Scenario 1",'I2 CBA Inputs'!G$43-'I2 CBA Inputs'!G48,0)+IF(Scenario_Select="Scenario 2",'I2 CBA Inputs'!G$52-'I2 CBA Inputs'!G57,0)+IF(Scenario_Select="Scenario 3",'I2 CBA Inputs'!G$61-'I2 CBA Inputs'!G66,0)+IF(Scenario_Select="Scenario 4",'I2 CBA Inputs'!G$70-'I2 CBA Inputs'!G75,0)),0)</f>
        <v>0</v>
      </c>
      <c r="I91" s="18">
        <f>IFERROR('I1 General Inputs'!$A19*(IF(Scenario_Select="Scenario 1",'I2 CBA Inputs'!H$43-'I2 CBA Inputs'!H48,0)+IF(Scenario_Select="Scenario 2",'I2 CBA Inputs'!H$52-'I2 CBA Inputs'!H57,0)+IF(Scenario_Select="Scenario 3",'I2 CBA Inputs'!H$61-'I2 CBA Inputs'!H66,0)+IF(Scenario_Select="Scenario 4",'I2 CBA Inputs'!H$70-'I2 CBA Inputs'!H75,0)),0)</f>
        <v>0</v>
      </c>
      <c r="J91" s="18">
        <f>IFERROR('I1 General Inputs'!$A19*(IF(Scenario_Select="Scenario 1",'I2 CBA Inputs'!I$43-'I2 CBA Inputs'!I48,0)+IF(Scenario_Select="Scenario 2",'I2 CBA Inputs'!I$52-'I2 CBA Inputs'!I57,0)+IF(Scenario_Select="Scenario 3",'I2 CBA Inputs'!I$61-'I2 CBA Inputs'!I66,0)+IF(Scenario_Select="Scenario 4",'I2 CBA Inputs'!I$70-'I2 CBA Inputs'!I75,0)),0)</f>
        <v>0</v>
      </c>
      <c r="K91" s="18">
        <f>IFERROR('I1 General Inputs'!$A19*(IF(Scenario_Select="Scenario 1",'I2 CBA Inputs'!J$43-'I2 CBA Inputs'!J48,0)+IF(Scenario_Select="Scenario 2",'I2 CBA Inputs'!J$52-'I2 CBA Inputs'!J57,0)+IF(Scenario_Select="Scenario 3",'I2 CBA Inputs'!J$61-'I2 CBA Inputs'!J66,0)+IF(Scenario_Select="Scenario 4",'I2 CBA Inputs'!J$70-'I2 CBA Inputs'!J75,0)),0)</f>
        <v>0</v>
      </c>
      <c r="L91" s="18">
        <f>IFERROR('I1 General Inputs'!$A19*(IF(Scenario_Select="Scenario 1",'I2 CBA Inputs'!K$43-'I2 CBA Inputs'!K48,0)+IF(Scenario_Select="Scenario 2",'I2 CBA Inputs'!K$52-'I2 CBA Inputs'!K57,0)+IF(Scenario_Select="Scenario 3",'I2 CBA Inputs'!K$61-'I2 CBA Inputs'!K66,0)+IF(Scenario_Select="Scenario 4",'I2 CBA Inputs'!K$70-'I2 CBA Inputs'!K75,0)),0)</f>
        <v>0</v>
      </c>
      <c r="M91" s="18">
        <f>IFERROR('I1 General Inputs'!$A19*(IF(Scenario_Select="Scenario 1",'I2 CBA Inputs'!L$43-'I2 CBA Inputs'!L48,0)+IF(Scenario_Select="Scenario 2",'I2 CBA Inputs'!L$52-'I2 CBA Inputs'!L57,0)+IF(Scenario_Select="Scenario 3",'I2 CBA Inputs'!L$61-'I2 CBA Inputs'!L66,0)+IF(Scenario_Select="Scenario 4",'I2 CBA Inputs'!L$70-'I2 CBA Inputs'!L75,0)),0)</f>
        <v>0</v>
      </c>
      <c r="N91" s="18">
        <f>IFERROR('I1 General Inputs'!$A19*(IF(Scenario_Select="Scenario 1",'I2 CBA Inputs'!M$43-'I2 CBA Inputs'!M48,0)+IF(Scenario_Select="Scenario 2",'I2 CBA Inputs'!M$52-'I2 CBA Inputs'!M57,0)+IF(Scenario_Select="Scenario 3",'I2 CBA Inputs'!M$61-'I2 CBA Inputs'!M66,0)+IF(Scenario_Select="Scenario 4",'I2 CBA Inputs'!M$70-'I2 CBA Inputs'!M75,0)),0)</f>
        <v>0</v>
      </c>
      <c r="O91" s="18">
        <f>IFERROR('I1 General Inputs'!$A19*(IF(Scenario_Select="Scenario 1",'I2 CBA Inputs'!N$43-'I2 CBA Inputs'!N48,0)+IF(Scenario_Select="Scenario 2",'I2 CBA Inputs'!N$52-'I2 CBA Inputs'!N57,0)+IF(Scenario_Select="Scenario 3",'I2 CBA Inputs'!N$61-'I2 CBA Inputs'!N66,0)+IF(Scenario_Select="Scenario 4",'I2 CBA Inputs'!N$70-'I2 CBA Inputs'!N75,0)),0)</f>
        <v>0</v>
      </c>
      <c r="P91" s="18">
        <f>IFERROR('I1 General Inputs'!$A19*(IF(Scenario_Select="Scenario 1",'I2 CBA Inputs'!O$43-'I2 CBA Inputs'!O48,0)+IF(Scenario_Select="Scenario 2",'I2 CBA Inputs'!O$52-'I2 CBA Inputs'!O57,0)+IF(Scenario_Select="Scenario 3",'I2 CBA Inputs'!O$61-'I2 CBA Inputs'!O66,0)+IF(Scenario_Select="Scenario 4",'I2 CBA Inputs'!O$70-'I2 CBA Inputs'!O75,0)),0)</f>
        <v>0</v>
      </c>
      <c r="Q91" s="18">
        <f>IFERROR('I1 General Inputs'!$A19*(IF(Scenario_Select="Scenario 1",'I2 CBA Inputs'!P$43-'I2 CBA Inputs'!P48,0)+IF(Scenario_Select="Scenario 2",'I2 CBA Inputs'!P$52-'I2 CBA Inputs'!P57,0)+IF(Scenario_Select="Scenario 3",'I2 CBA Inputs'!P$61-'I2 CBA Inputs'!P66,0)+IF(Scenario_Select="Scenario 4",'I2 CBA Inputs'!P$70-'I2 CBA Inputs'!P75,0)),0)</f>
        <v>0</v>
      </c>
      <c r="R91" s="18">
        <f>IFERROR('I1 General Inputs'!$A19*(IF(Scenario_Select="Scenario 1",'I2 CBA Inputs'!Q$43-'I2 CBA Inputs'!Q48,0)+IF(Scenario_Select="Scenario 2",'I2 CBA Inputs'!Q$52-'I2 CBA Inputs'!Q57,0)+IF(Scenario_Select="Scenario 3",'I2 CBA Inputs'!Q$61-'I2 CBA Inputs'!Q66,0)+IF(Scenario_Select="Scenario 4",'I2 CBA Inputs'!Q$70-'I2 CBA Inputs'!Q75,0)),0)</f>
        <v>0</v>
      </c>
      <c r="S91" s="18">
        <f>IFERROR('I1 General Inputs'!$A19*(IF(Scenario_Select="Scenario 1",'I2 CBA Inputs'!R$43-'I2 CBA Inputs'!R48,0)+IF(Scenario_Select="Scenario 2",'I2 CBA Inputs'!R$52-'I2 CBA Inputs'!R57,0)+IF(Scenario_Select="Scenario 3",'I2 CBA Inputs'!R$61-'I2 CBA Inputs'!R66,0)+IF(Scenario_Select="Scenario 4",'I2 CBA Inputs'!R$70-'I2 CBA Inputs'!R75,0)),0)</f>
        <v>0</v>
      </c>
      <c r="T91" s="18">
        <f>IFERROR('I1 General Inputs'!$A19*(IF(Scenario_Select="Scenario 1",'I2 CBA Inputs'!S$43-'I2 CBA Inputs'!S48,0)+IF(Scenario_Select="Scenario 2",'I2 CBA Inputs'!S$52-'I2 CBA Inputs'!S57,0)+IF(Scenario_Select="Scenario 3",'I2 CBA Inputs'!S$61-'I2 CBA Inputs'!S66,0)+IF(Scenario_Select="Scenario 4",'I2 CBA Inputs'!S$70-'I2 CBA Inputs'!S75,0)),0)</f>
        <v>0</v>
      </c>
      <c r="U91" s="18">
        <f>IFERROR('I1 General Inputs'!$A19*(IF(Scenario_Select="Scenario 1",'I2 CBA Inputs'!T$43-'I2 CBA Inputs'!T48,0)+IF(Scenario_Select="Scenario 2",'I2 CBA Inputs'!T$52-'I2 CBA Inputs'!T57,0)+IF(Scenario_Select="Scenario 3",'I2 CBA Inputs'!T$61-'I2 CBA Inputs'!T66,0)+IF(Scenario_Select="Scenario 4",'I2 CBA Inputs'!T$70-'I2 CBA Inputs'!T75,0)),0)</f>
        <v>0</v>
      </c>
      <c r="V91" s="18">
        <f>IFERROR('I1 General Inputs'!$A19*(IF(Scenario_Select="Scenario 1",'I2 CBA Inputs'!U$43-'I2 CBA Inputs'!U48,0)+IF(Scenario_Select="Scenario 2",'I2 CBA Inputs'!U$52-'I2 CBA Inputs'!U57,0)+IF(Scenario_Select="Scenario 3",'I2 CBA Inputs'!U$61-'I2 CBA Inputs'!U66,0)+IF(Scenario_Select="Scenario 4",'I2 CBA Inputs'!U$70-'I2 CBA Inputs'!U75,0)),0)</f>
        <v>0</v>
      </c>
      <c r="W91" s="18">
        <f>IFERROR('I1 General Inputs'!$A19*(IF(Scenario_Select="Scenario 1",'I2 CBA Inputs'!V$43-'I2 CBA Inputs'!V48,0)+IF(Scenario_Select="Scenario 2",'I2 CBA Inputs'!V$52-'I2 CBA Inputs'!V57,0)+IF(Scenario_Select="Scenario 3",'I2 CBA Inputs'!V$61-'I2 CBA Inputs'!V66,0)+IF(Scenario_Select="Scenario 4",'I2 CBA Inputs'!V$70-'I2 CBA Inputs'!V75,0)),0)</f>
        <v>0</v>
      </c>
      <c r="X91" s="18">
        <f>IFERROR('I1 General Inputs'!$A19*(IF(Scenario_Select="Scenario 1",'I2 CBA Inputs'!W$43-'I2 CBA Inputs'!W48,0)+IF(Scenario_Select="Scenario 2",'I2 CBA Inputs'!W$52-'I2 CBA Inputs'!W57,0)+IF(Scenario_Select="Scenario 3",'I2 CBA Inputs'!W$61-'I2 CBA Inputs'!W66,0)+IF(Scenario_Select="Scenario 4",'I2 CBA Inputs'!W$70-'I2 CBA Inputs'!W75,0)),0)</f>
        <v>0</v>
      </c>
      <c r="Y91" s="18">
        <f>IFERROR('I1 General Inputs'!$A19*(IF(Scenario_Select="Scenario 1",'I2 CBA Inputs'!X$43-'I2 CBA Inputs'!X48,0)+IF(Scenario_Select="Scenario 2",'I2 CBA Inputs'!X$52-'I2 CBA Inputs'!X57,0)+IF(Scenario_Select="Scenario 3",'I2 CBA Inputs'!X$61-'I2 CBA Inputs'!X66,0)+IF(Scenario_Select="Scenario 4",'I2 CBA Inputs'!X$70-'I2 CBA Inputs'!X75,0)),0)</f>
        <v>0</v>
      </c>
      <c r="Z91" s="18">
        <f>IFERROR('I1 General Inputs'!$A19*(IF(Scenario_Select="Scenario 1",'I2 CBA Inputs'!Y$43-'I2 CBA Inputs'!Y48,0)+IF(Scenario_Select="Scenario 2",'I2 CBA Inputs'!Y$52-'I2 CBA Inputs'!Y57,0)+IF(Scenario_Select="Scenario 3",'I2 CBA Inputs'!Y$61-'I2 CBA Inputs'!Y66,0)+IF(Scenario_Select="Scenario 4",'I2 CBA Inputs'!Y$70-'I2 CBA Inputs'!Y75,0)),0)</f>
        <v>0</v>
      </c>
      <c r="AA91" s="18">
        <f>IFERROR('I1 General Inputs'!$A19*(IF(Scenario_Select="Scenario 1",'I2 CBA Inputs'!Z$43-'I2 CBA Inputs'!Z48,0)+IF(Scenario_Select="Scenario 2",'I2 CBA Inputs'!Z$52-'I2 CBA Inputs'!Z57,0)+IF(Scenario_Select="Scenario 3",'I2 CBA Inputs'!Z$61-'I2 CBA Inputs'!Z66,0)+IF(Scenario_Select="Scenario 4",'I2 CBA Inputs'!Z$70-'I2 CBA Inputs'!Z75,0)),0)</f>
        <v>0</v>
      </c>
      <c r="AB91" s="18">
        <f>IFERROR('I1 General Inputs'!$A19*(IF(Scenario_Select="Scenario 1",'I2 CBA Inputs'!AA$43-'I2 CBA Inputs'!AA48,0)+IF(Scenario_Select="Scenario 2",'I2 CBA Inputs'!AA$52-'I2 CBA Inputs'!AA57,0)+IF(Scenario_Select="Scenario 3",'I2 CBA Inputs'!AA$61-'I2 CBA Inputs'!AA66,0)+IF(Scenario_Select="Scenario 4",'I2 CBA Inputs'!AA$70-'I2 CBA Inputs'!AA75,0)),0)</f>
        <v>0</v>
      </c>
      <c r="AC91" s="18">
        <f>IFERROR('I1 General Inputs'!$A19*(IF(Scenario_Select="Scenario 1",'I2 CBA Inputs'!AB$43-'I2 CBA Inputs'!AB48,0)+IF(Scenario_Select="Scenario 2",'I2 CBA Inputs'!AB$52-'I2 CBA Inputs'!AB57,0)+IF(Scenario_Select="Scenario 3",'I2 CBA Inputs'!AB$61-'I2 CBA Inputs'!AB66,0)+IF(Scenario_Select="Scenario 4",'I2 CBA Inputs'!AB$70-'I2 CBA Inputs'!AB75,0)),0)</f>
        <v>0</v>
      </c>
      <c r="AD91" s="18">
        <f>IFERROR('I1 General Inputs'!$A19*(IF(Scenario_Select="Scenario 1",'I2 CBA Inputs'!AC$43-'I2 CBA Inputs'!AC48,0)+IF(Scenario_Select="Scenario 2",'I2 CBA Inputs'!AC$52-'I2 CBA Inputs'!AC57,0)+IF(Scenario_Select="Scenario 3",'I2 CBA Inputs'!AC$61-'I2 CBA Inputs'!AC66,0)+IF(Scenario_Select="Scenario 4",'I2 CBA Inputs'!AC$70-'I2 CBA Inputs'!AC75,0)),0)</f>
        <v>0</v>
      </c>
      <c r="AE91" s="18">
        <f>IFERROR('I1 General Inputs'!$A19*(IF(Scenario_Select="Scenario 1",'I2 CBA Inputs'!AD$43-'I2 CBA Inputs'!AD48,0)+IF(Scenario_Select="Scenario 2",'I2 CBA Inputs'!AD$52-'I2 CBA Inputs'!AD57,0)+IF(Scenario_Select="Scenario 3",'I2 CBA Inputs'!AD$61-'I2 CBA Inputs'!AD66,0)+IF(Scenario_Select="Scenario 4",'I2 CBA Inputs'!AD$70-'I2 CBA Inputs'!AD75,0)),0)</f>
        <v>0</v>
      </c>
      <c r="AF91" s="18">
        <f>'I1 General Inputs'!$A19*(IF(Scenario_Select="Scenario 1",'I2 CBA Inputs'!AE$43-'I2 CBA Inputs'!AE48,0)+IF(Scenario_Select="Scenario 2",'I2 CBA Inputs'!AE$52-'I2 CBA Inputs'!AE57,0)+IF(Scenario_Select="Scenario 3",'I2 CBA Inputs'!AE$61-'I2 CBA Inputs'!AE66,0)+IF(Scenario_Select="Scenario 4",'I2 CBA Inputs'!AE$70-'I2 CBA Inputs'!AE75,0))</f>
        <v>0</v>
      </c>
      <c r="AG91" s="18">
        <f>'I1 General Inputs'!$A19*(IF(Scenario_Select="Scenario 1",'I2 CBA Inputs'!AF$43-'I2 CBA Inputs'!AF48,0)+IF(Scenario_Select="Scenario 2",'I2 CBA Inputs'!AF$52-'I2 CBA Inputs'!AF57,0)+IF(Scenario_Select="Scenario 3",'I2 CBA Inputs'!AF$61-'I2 CBA Inputs'!AF66,0)+IF(Scenario_Select="Scenario 4",'I2 CBA Inputs'!AF$70-'I2 CBA Inputs'!AF75,0))</f>
        <v>0</v>
      </c>
      <c r="AH91" s="18">
        <f>'I1 General Inputs'!$A19*(IF(Scenario_Select="Scenario 1",'I2 CBA Inputs'!AG$43-'I2 CBA Inputs'!AG48,0)+IF(Scenario_Select="Scenario 2",'I2 CBA Inputs'!AG$52-'I2 CBA Inputs'!AG57,0)+IF(Scenario_Select="Scenario 3",'I2 CBA Inputs'!AG$61-'I2 CBA Inputs'!AG66,0)+IF(Scenario_Select="Scenario 4",'I2 CBA Inputs'!AG$70-'I2 CBA Inputs'!AG75,0))</f>
        <v>0</v>
      </c>
      <c r="AI91" s="18">
        <f>'I1 General Inputs'!$A19*(IF(Scenario_Select="Scenario 1",'I2 CBA Inputs'!AH$43-'I2 CBA Inputs'!AH48,0)+IF(Scenario_Select="Scenario 2",'I2 CBA Inputs'!AH$52-'I2 CBA Inputs'!AH57,0)+IF(Scenario_Select="Scenario 3",'I2 CBA Inputs'!AH$61-'I2 CBA Inputs'!AH66,0)+IF(Scenario_Select="Scenario 4",'I2 CBA Inputs'!AH$70-'I2 CBA Inputs'!AH75,0))</f>
        <v>0</v>
      </c>
      <c r="AJ91" s="18">
        <f>'I1 General Inputs'!$A19*(IF(Scenario_Select="Scenario 1",'I2 CBA Inputs'!AI$43-'I2 CBA Inputs'!AI48,0)+IF(Scenario_Select="Scenario 2",'I2 CBA Inputs'!AI$52-'I2 CBA Inputs'!AI57,0)+IF(Scenario_Select="Scenario 3",'I2 CBA Inputs'!AI$61-'I2 CBA Inputs'!AI66,0)+IF(Scenario_Select="Scenario 4",'I2 CBA Inputs'!AI$70-'I2 CBA Inputs'!AI75,0))</f>
        <v>0</v>
      </c>
    </row>
    <row r="92" spans="2:36" x14ac:dyDescent="0.2">
      <c r="B92" s="9">
        <f>+'I1 General Inputs'!$B$20</f>
        <v>6</v>
      </c>
      <c r="C92" s="15" t="str">
        <f>+'I1 General Inputs'!$C$20</f>
        <v>Option 5B</v>
      </c>
      <c r="D92" s="28"/>
      <c r="E92" s="13" t="s">
        <v>35</v>
      </c>
      <c r="F92" s="19">
        <f t="shared" si="25"/>
        <v>5330894.7894614292</v>
      </c>
      <c r="G92" s="18">
        <f>IFERROR('I1 General Inputs'!$A20*(IF(Scenario_Select="Scenario 1",'I2 CBA Inputs'!F$43-'I2 CBA Inputs'!F49,0)+IF(Scenario_Select="Scenario 2",'I2 CBA Inputs'!F$52-'I2 CBA Inputs'!F58,0)+IF(Scenario_Select="Scenario 3",'I2 CBA Inputs'!F$61-'I2 CBA Inputs'!F67,0)+IF(Scenario_Select="Scenario 4",'I2 CBA Inputs'!F$70-'I2 CBA Inputs'!F76,0)),0)</f>
        <v>0</v>
      </c>
      <c r="H92" s="18">
        <f>IFERROR('I1 General Inputs'!$A20*(IF(Scenario_Select="Scenario 1",'I2 CBA Inputs'!G$43-'I2 CBA Inputs'!G49,0)+IF(Scenario_Select="Scenario 2",'I2 CBA Inputs'!G$52-'I2 CBA Inputs'!G58,0)+IF(Scenario_Select="Scenario 3",'I2 CBA Inputs'!G$61-'I2 CBA Inputs'!G67,0)+IF(Scenario_Select="Scenario 4",'I2 CBA Inputs'!G$70-'I2 CBA Inputs'!G76,0)),0)</f>
        <v>0.18296942999586463</v>
      </c>
      <c r="I92" s="18">
        <f>IFERROR('I1 General Inputs'!$A20*(IF(Scenario_Select="Scenario 1",'I2 CBA Inputs'!H$43-'I2 CBA Inputs'!H49,0)+IF(Scenario_Select="Scenario 2",'I2 CBA Inputs'!H$52-'I2 CBA Inputs'!H58,0)+IF(Scenario_Select="Scenario 3",'I2 CBA Inputs'!H$61-'I2 CBA Inputs'!H67,0)+IF(Scenario_Select="Scenario 4",'I2 CBA Inputs'!H$70-'I2 CBA Inputs'!H76,0)),0)</f>
        <v>-0.70642714574933052</v>
      </c>
      <c r="J92" s="18">
        <f>IFERROR('I1 General Inputs'!$A20*(IF(Scenario_Select="Scenario 1",'I2 CBA Inputs'!I$43-'I2 CBA Inputs'!I49,0)+IF(Scenario_Select="Scenario 2",'I2 CBA Inputs'!I$52-'I2 CBA Inputs'!I58,0)+IF(Scenario_Select="Scenario 3",'I2 CBA Inputs'!I$61-'I2 CBA Inputs'!I67,0)+IF(Scenario_Select="Scenario 4",'I2 CBA Inputs'!I$70-'I2 CBA Inputs'!I76,0)),0)</f>
        <v>14729.858353599906</v>
      </c>
      <c r="K92" s="18">
        <f>IFERROR('I1 General Inputs'!$A20*(IF(Scenario_Select="Scenario 1",'I2 CBA Inputs'!J$43-'I2 CBA Inputs'!J49,0)+IF(Scenario_Select="Scenario 2",'I2 CBA Inputs'!J$52-'I2 CBA Inputs'!J58,0)+IF(Scenario_Select="Scenario 3",'I2 CBA Inputs'!J$61-'I2 CBA Inputs'!J67,0)+IF(Scenario_Select="Scenario 4",'I2 CBA Inputs'!J$70-'I2 CBA Inputs'!J76,0)),0)</f>
        <v>4388762.5326546878</v>
      </c>
      <c r="L92" s="18">
        <f>IFERROR('I1 General Inputs'!$A20*(IF(Scenario_Select="Scenario 1",'I2 CBA Inputs'!K$43-'I2 CBA Inputs'!K49,0)+IF(Scenario_Select="Scenario 2",'I2 CBA Inputs'!K$52-'I2 CBA Inputs'!K58,0)+IF(Scenario_Select="Scenario 3",'I2 CBA Inputs'!K$61-'I2 CBA Inputs'!K67,0)+IF(Scenario_Select="Scenario 4",'I2 CBA Inputs'!K$70-'I2 CBA Inputs'!K76,0)),0)</f>
        <v>1348909.7569870651</v>
      </c>
      <c r="M92" s="18">
        <f>IFERROR('I1 General Inputs'!$A20*(IF(Scenario_Select="Scenario 1",'I2 CBA Inputs'!L$43-'I2 CBA Inputs'!L49,0)+IF(Scenario_Select="Scenario 2",'I2 CBA Inputs'!L$52-'I2 CBA Inputs'!L58,0)+IF(Scenario_Select="Scenario 3",'I2 CBA Inputs'!L$61-'I2 CBA Inputs'!L67,0)+IF(Scenario_Select="Scenario 4",'I2 CBA Inputs'!L$70-'I2 CBA Inputs'!L76,0)),0)</f>
        <v>0.49898475779618701</v>
      </c>
      <c r="N92" s="18">
        <f>IFERROR('I1 General Inputs'!$A20*(IF(Scenario_Select="Scenario 1",'I2 CBA Inputs'!M$43-'I2 CBA Inputs'!M49,0)+IF(Scenario_Select="Scenario 2",'I2 CBA Inputs'!M$52-'I2 CBA Inputs'!M58,0)+IF(Scenario_Select="Scenario 3",'I2 CBA Inputs'!M$61-'I2 CBA Inputs'!M67,0)+IF(Scenario_Select="Scenario 4",'I2 CBA Inputs'!M$70-'I2 CBA Inputs'!M76,0)),0)</f>
        <v>0.52844359147183684</v>
      </c>
      <c r="O92" s="18">
        <f>IFERROR('I1 General Inputs'!$A20*(IF(Scenario_Select="Scenario 1",'I2 CBA Inputs'!N$43-'I2 CBA Inputs'!N49,0)+IF(Scenario_Select="Scenario 2",'I2 CBA Inputs'!N$52-'I2 CBA Inputs'!N58,0)+IF(Scenario_Select="Scenario 3",'I2 CBA Inputs'!N$61-'I2 CBA Inputs'!N67,0)+IF(Scenario_Select="Scenario 4",'I2 CBA Inputs'!N$70-'I2 CBA Inputs'!N76,0)),0)</f>
        <v>0.56121609169186937</v>
      </c>
      <c r="P92" s="18">
        <f>IFERROR('I1 General Inputs'!$A20*(IF(Scenario_Select="Scenario 1",'I2 CBA Inputs'!O$43-'I2 CBA Inputs'!O49,0)+IF(Scenario_Select="Scenario 2",'I2 CBA Inputs'!O$52-'I2 CBA Inputs'!O58,0)+IF(Scenario_Select="Scenario 3",'I2 CBA Inputs'!O$61-'I2 CBA Inputs'!O67,0)+IF(Scenario_Select="Scenario 4",'I2 CBA Inputs'!O$70-'I2 CBA Inputs'!O76,0)),0)</f>
        <v>-999479.47728201002</v>
      </c>
      <c r="Q92" s="18">
        <f>IFERROR('I1 General Inputs'!$A20*(IF(Scenario_Select="Scenario 1",'I2 CBA Inputs'!P$43-'I2 CBA Inputs'!P49,0)+IF(Scenario_Select="Scenario 2",'I2 CBA Inputs'!P$52-'I2 CBA Inputs'!P58,0)+IF(Scenario_Select="Scenario 3",'I2 CBA Inputs'!P$61-'I2 CBA Inputs'!P67,0)+IF(Scenario_Select="Scenario 4",'I2 CBA Inputs'!P$70-'I2 CBA Inputs'!P76,0)),0)</f>
        <v>5548763.7438998669</v>
      </c>
      <c r="R92" s="18">
        <f>IFERROR('I1 General Inputs'!$A20*(IF(Scenario_Select="Scenario 1",'I2 CBA Inputs'!Q$43-'I2 CBA Inputs'!Q49,0)+IF(Scenario_Select="Scenario 2",'I2 CBA Inputs'!Q$52-'I2 CBA Inputs'!Q58,0)+IF(Scenario_Select="Scenario 3",'I2 CBA Inputs'!Q$61-'I2 CBA Inputs'!Q67,0)+IF(Scenario_Select="Scenario 4",'I2 CBA Inputs'!Q$70-'I2 CBA Inputs'!Q76,0)),0)</f>
        <v>2150385.391984011</v>
      </c>
      <c r="S92" s="18">
        <f>IFERROR('I1 General Inputs'!$A20*(IF(Scenario_Select="Scenario 1",'I2 CBA Inputs'!R$43-'I2 CBA Inputs'!R49,0)+IF(Scenario_Select="Scenario 2",'I2 CBA Inputs'!R$52-'I2 CBA Inputs'!R58,0)+IF(Scenario_Select="Scenario 3",'I2 CBA Inputs'!R$61-'I2 CBA Inputs'!R67,0)+IF(Scenario_Select="Scenario 4",'I2 CBA Inputs'!R$70-'I2 CBA Inputs'!R76,0)),0)</f>
        <v>361007.24313721806</v>
      </c>
      <c r="T92" s="18">
        <f>IFERROR('I1 General Inputs'!$A20*(IF(Scenario_Select="Scenario 1",'I2 CBA Inputs'!S$43-'I2 CBA Inputs'!S49,0)+IF(Scenario_Select="Scenario 2",'I2 CBA Inputs'!S$52-'I2 CBA Inputs'!S58,0)+IF(Scenario_Select="Scenario 3",'I2 CBA Inputs'!S$61-'I2 CBA Inputs'!S67,0)+IF(Scenario_Select="Scenario 4",'I2 CBA Inputs'!S$70-'I2 CBA Inputs'!S76,0)),0)</f>
        <v>719617.35723744426</v>
      </c>
      <c r="U92" s="18">
        <f>IFERROR('I1 General Inputs'!$A20*(IF(Scenario_Select="Scenario 1",'I2 CBA Inputs'!T$43-'I2 CBA Inputs'!T49,0)+IF(Scenario_Select="Scenario 2",'I2 CBA Inputs'!T$52-'I2 CBA Inputs'!T58,0)+IF(Scenario_Select="Scenario 3",'I2 CBA Inputs'!T$61-'I2 CBA Inputs'!T67,0)+IF(Scenario_Select="Scenario 4",'I2 CBA Inputs'!T$70-'I2 CBA Inputs'!T76,0)),0)</f>
        <v>-2988476.0271770507</v>
      </c>
      <c r="V92" s="18">
        <f>IFERROR('I1 General Inputs'!$A20*(IF(Scenario_Select="Scenario 1",'I2 CBA Inputs'!U$43-'I2 CBA Inputs'!U49,0)+IF(Scenario_Select="Scenario 2",'I2 CBA Inputs'!U$52-'I2 CBA Inputs'!U58,0)+IF(Scenario_Select="Scenario 3",'I2 CBA Inputs'!U$61-'I2 CBA Inputs'!U67,0)+IF(Scenario_Select="Scenario 4",'I2 CBA Inputs'!U$70-'I2 CBA Inputs'!U76,0)),0)</f>
        <v>1008226.8853761891</v>
      </c>
      <c r="W92" s="18">
        <f>IFERROR('I1 General Inputs'!$A20*(IF(Scenario_Select="Scenario 1",'I2 CBA Inputs'!V$43-'I2 CBA Inputs'!V49,0)+IF(Scenario_Select="Scenario 2",'I2 CBA Inputs'!V$52-'I2 CBA Inputs'!V58,0)+IF(Scenario_Select="Scenario 3",'I2 CBA Inputs'!V$61-'I2 CBA Inputs'!V67,0)+IF(Scenario_Select="Scenario 4",'I2 CBA Inputs'!V$70-'I2 CBA Inputs'!V76,0)),0)</f>
        <v>1760025.3073479235</v>
      </c>
      <c r="X92" s="18">
        <f>IFERROR('I1 General Inputs'!$A20*(IF(Scenario_Select="Scenario 1",'I2 CBA Inputs'!W$43-'I2 CBA Inputs'!W49,0)+IF(Scenario_Select="Scenario 2",'I2 CBA Inputs'!W$52-'I2 CBA Inputs'!W58,0)+IF(Scenario_Select="Scenario 3",'I2 CBA Inputs'!W$61-'I2 CBA Inputs'!W67,0)+IF(Scenario_Select="Scenario 4",'I2 CBA Inputs'!W$70-'I2 CBA Inputs'!W76,0)),0)</f>
        <v>0.93422780988737664</v>
      </c>
      <c r="Y92" s="18">
        <f>IFERROR('I1 General Inputs'!$A20*(IF(Scenario_Select="Scenario 1",'I2 CBA Inputs'!X$43-'I2 CBA Inputs'!X49,0)+IF(Scenario_Select="Scenario 2",'I2 CBA Inputs'!X$52-'I2 CBA Inputs'!X58,0)+IF(Scenario_Select="Scenario 3",'I2 CBA Inputs'!X$61-'I2 CBA Inputs'!X67,0)+IF(Scenario_Select="Scenario 4",'I2 CBA Inputs'!X$70-'I2 CBA Inputs'!X76,0)),0)</f>
        <v>0.98810830323542209</v>
      </c>
      <c r="Z92" s="18">
        <f>IFERROR('I1 General Inputs'!$A20*(IF(Scenario_Select="Scenario 1",'I2 CBA Inputs'!Y$43-'I2 CBA Inputs'!Y49,0)+IF(Scenario_Select="Scenario 2",'I2 CBA Inputs'!Y$52-'I2 CBA Inputs'!Y58,0)+IF(Scenario_Select="Scenario 3",'I2 CBA Inputs'!Y$61-'I2 CBA Inputs'!Y67,0)+IF(Scenario_Select="Scenario 4",'I2 CBA Inputs'!Y$70-'I2 CBA Inputs'!Y76,0)),0)</f>
        <v>-33.027570767328143</v>
      </c>
      <c r="AA92" s="18">
        <f>IFERROR('I1 General Inputs'!$A20*(IF(Scenario_Select="Scenario 1",'I2 CBA Inputs'!Z$43-'I2 CBA Inputs'!Z49,0)+IF(Scenario_Select="Scenario 2",'I2 CBA Inputs'!Z$52-'I2 CBA Inputs'!Z58,0)+IF(Scenario_Select="Scenario 3",'I2 CBA Inputs'!Z$61-'I2 CBA Inputs'!Z67,0)+IF(Scenario_Select="Scenario 4",'I2 CBA Inputs'!Z$70-'I2 CBA Inputs'!Z76,0)),0)</f>
        <v>3871570.1322218254</v>
      </c>
      <c r="AB92" s="18">
        <f>IFERROR('I1 General Inputs'!$A20*(IF(Scenario_Select="Scenario 1",'I2 CBA Inputs'!AA$43-'I2 CBA Inputs'!AA49,0)+IF(Scenario_Select="Scenario 2",'I2 CBA Inputs'!AA$52-'I2 CBA Inputs'!AA58,0)+IF(Scenario_Select="Scenario 3",'I2 CBA Inputs'!AA$61-'I2 CBA Inputs'!AA67,0)+IF(Scenario_Select="Scenario 4",'I2 CBA Inputs'!AA$70-'I2 CBA Inputs'!AA76,0)),0)</f>
        <v>-11095195.344018098</v>
      </c>
      <c r="AC92" s="18">
        <f>IFERROR('I1 General Inputs'!$A20*(IF(Scenario_Select="Scenario 1",'I2 CBA Inputs'!AB$43-'I2 CBA Inputs'!AB49,0)+IF(Scenario_Select="Scenario 2",'I2 CBA Inputs'!AB$52-'I2 CBA Inputs'!AB58,0)+IF(Scenario_Select="Scenario 3",'I2 CBA Inputs'!AB$61-'I2 CBA Inputs'!AB67,0)+IF(Scenario_Select="Scenario 4",'I2 CBA Inputs'!AB$70-'I2 CBA Inputs'!AB76,0)),0)</f>
        <v>-1347784.8921404406</v>
      </c>
      <c r="AD92" s="18">
        <f>IFERROR('I1 General Inputs'!$A20*(IF(Scenario_Select="Scenario 1",'I2 CBA Inputs'!AC$43-'I2 CBA Inputs'!AC49,0)+IF(Scenario_Select="Scenario 2",'I2 CBA Inputs'!AC$52-'I2 CBA Inputs'!AC58,0)+IF(Scenario_Select="Scenario 3",'I2 CBA Inputs'!AC$61-'I2 CBA Inputs'!AC67,0)+IF(Scenario_Select="Scenario 4",'I2 CBA Inputs'!AC$70-'I2 CBA Inputs'!AC76,0)),0)</f>
        <v>-1357015.7219857797</v>
      </c>
      <c r="AE92" s="18">
        <f>IFERROR('I1 General Inputs'!$A20*(IF(Scenario_Select="Scenario 1",'I2 CBA Inputs'!AD$43-'I2 CBA Inputs'!AD49,0)+IF(Scenario_Select="Scenario 2",'I2 CBA Inputs'!AD$52-'I2 CBA Inputs'!AD58,0)+IF(Scenario_Select="Scenario 3",'I2 CBA Inputs'!AD$61-'I2 CBA Inputs'!AD67,0)+IF(Scenario_Select="Scenario 4",'I2 CBA Inputs'!AD$70-'I2 CBA Inputs'!AD76,0)),0)</f>
        <v>-1303703.5263723731</v>
      </c>
      <c r="AF92" s="18">
        <f>'I1 General Inputs'!$A20*(IF(Scenario_Select="Scenario 1",'I2 CBA Inputs'!AE$43-'I2 CBA Inputs'!AE49,0)+IF(Scenario_Select="Scenario 2",'I2 CBA Inputs'!AE$52-'I2 CBA Inputs'!AE58,0)+IF(Scenario_Select="Scenario 3",'I2 CBA Inputs'!AE$61-'I2 CBA Inputs'!AE67,0)+IF(Scenario_Select="Scenario 4",'I2 CBA Inputs'!AE$70-'I2 CBA Inputs'!AE76,0))</f>
        <v>1.4698035972882559</v>
      </c>
      <c r="AG92" s="18">
        <f>'I1 General Inputs'!$A20*(IF(Scenario_Select="Scenario 1",'I2 CBA Inputs'!AF$43-'I2 CBA Inputs'!AF49,0)+IF(Scenario_Select="Scenario 2",'I2 CBA Inputs'!AF$52-'I2 CBA Inputs'!AF58,0)+IF(Scenario_Select="Scenario 3",'I2 CBA Inputs'!AF$61-'I2 CBA Inputs'!AF67,0)+IF(Scenario_Select="Scenario 4",'I2 CBA Inputs'!AF$70-'I2 CBA Inputs'!AF76,0))</f>
        <v>0</v>
      </c>
      <c r="AH92" s="18">
        <f>'I1 General Inputs'!$A20*(IF(Scenario_Select="Scenario 1",'I2 CBA Inputs'!AG$43-'I2 CBA Inputs'!AG49,0)+IF(Scenario_Select="Scenario 2",'I2 CBA Inputs'!AG$52-'I2 CBA Inputs'!AG58,0)+IF(Scenario_Select="Scenario 3",'I2 CBA Inputs'!AG$61-'I2 CBA Inputs'!AG67,0)+IF(Scenario_Select="Scenario 4",'I2 CBA Inputs'!AG$70-'I2 CBA Inputs'!AG76,0))</f>
        <v>0</v>
      </c>
      <c r="AI92" s="18">
        <f>'I1 General Inputs'!$A20*(IF(Scenario_Select="Scenario 1",'I2 CBA Inputs'!AH$43-'I2 CBA Inputs'!AH49,0)+IF(Scenario_Select="Scenario 2",'I2 CBA Inputs'!AH$52-'I2 CBA Inputs'!AH58,0)+IF(Scenario_Select="Scenario 3",'I2 CBA Inputs'!AH$61-'I2 CBA Inputs'!AH67,0)+IF(Scenario_Select="Scenario 4",'I2 CBA Inputs'!AH$70-'I2 CBA Inputs'!AH76,0))</f>
        <v>0</v>
      </c>
      <c r="AJ92" s="18">
        <f>'I1 General Inputs'!$A20*(IF(Scenario_Select="Scenario 1",'I2 CBA Inputs'!AI$43-'I2 CBA Inputs'!AI49,0)+IF(Scenario_Select="Scenario 2",'I2 CBA Inputs'!AI$52-'I2 CBA Inputs'!AI58,0)+IF(Scenario_Select="Scenario 3",'I2 CBA Inputs'!AI$61-'I2 CBA Inputs'!AI67,0)+IF(Scenario_Select="Scenario 4",'I2 CBA Inputs'!AI$70-'I2 CBA Inputs'!AI76,0))</f>
        <v>0</v>
      </c>
    </row>
    <row r="93" spans="2:36" x14ac:dyDescent="0.2">
      <c r="I93">
        <f>I91/I92</f>
        <v>0</v>
      </c>
      <c r="J93">
        <f>J91/J92</f>
        <v>0</v>
      </c>
    </row>
    <row r="94" spans="2:36" ht="15.75" x14ac:dyDescent="0.25">
      <c r="B94" s="5" t="str">
        <f>+'I2 CBA Inputs'!B78</f>
        <v>Difference in timing of unrelated expenditure</v>
      </c>
      <c r="C94" s="30"/>
      <c r="D94" s="30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</row>
    <row r="95" spans="2:36" ht="15.75" x14ac:dyDescent="0.25">
      <c r="B95" s="7" t="s">
        <v>14</v>
      </c>
      <c r="C95" s="11" t="s">
        <v>13</v>
      </c>
      <c r="D95" s="11"/>
      <c r="E95" s="8" t="s">
        <v>22</v>
      </c>
      <c r="F95" s="8" t="s">
        <v>37</v>
      </c>
      <c r="G95" s="7">
        <f t="shared" ref="G95:AJ95" si="26">G$7</f>
        <v>2020</v>
      </c>
      <c r="H95" s="7">
        <f t="shared" si="26"/>
        <v>2021</v>
      </c>
      <c r="I95" s="7">
        <f t="shared" si="26"/>
        <v>2022</v>
      </c>
      <c r="J95" s="7">
        <f t="shared" si="26"/>
        <v>2023</v>
      </c>
      <c r="K95" s="7">
        <f t="shared" si="26"/>
        <v>2024</v>
      </c>
      <c r="L95" s="7">
        <f t="shared" si="26"/>
        <v>2025</v>
      </c>
      <c r="M95" s="7">
        <f t="shared" si="26"/>
        <v>2026</v>
      </c>
      <c r="N95" s="7">
        <f t="shared" si="26"/>
        <v>2027</v>
      </c>
      <c r="O95" s="7">
        <f t="shared" si="26"/>
        <v>2028</v>
      </c>
      <c r="P95" s="7">
        <f t="shared" si="26"/>
        <v>2029</v>
      </c>
      <c r="Q95" s="7">
        <f t="shared" si="26"/>
        <v>2030</v>
      </c>
      <c r="R95" s="7">
        <f t="shared" si="26"/>
        <v>2031</v>
      </c>
      <c r="S95" s="7">
        <f t="shared" si="26"/>
        <v>2032</v>
      </c>
      <c r="T95" s="7">
        <f t="shared" si="26"/>
        <v>2033</v>
      </c>
      <c r="U95" s="7">
        <f t="shared" si="26"/>
        <v>2034</v>
      </c>
      <c r="V95" s="7">
        <f t="shared" si="26"/>
        <v>2035</v>
      </c>
      <c r="W95" s="7">
        <f t="shared" si="26"/>
        <v>2036</v>
      </c>
      <c r="X95" s="7">
        <f t="shared" si="26"/>
        <v>2037</v>
      </c>
      <c r="Y95" s="7">
        <f t="shared" si="26"/>
        <v>2038</v>
      </c>
      <c r="Z95" s="7">
        <f t="shared" si="26"/>
        <v>2039</v>
      </c>
      <c r="AA95" s="7">
        <f t="shared" si="26"/>
        <v>2040</v>
      </c>
      <c r="AB95" s="7">
        <f t="shared" si="26"/>
        <v>2041</v>
      </c>
      <c r="AC95" s="7">
        <f t="shared" si="26"/>
        <v>2042</v>
      </c>
      <c r="AD95" s="7">
        <f t="shared" si="26"/>
        <v>2043</v>
      </c>
      <c r="AE95" s="7">
        <f t="shared" si="26"/>
        <v>2044</v>
      </c>
      <c r="AF95" s="7">
        <f t="shared" si="26"/>
        <v>2045</v>
      </c>
      <c r="AG95" s="7">
        <f t="shared" si="26"/>
        <v>0</v>
      </c>
      <c r="AH95" s="7">
        <f t="shared" si="26"/>
        <v>0</v>
      </c>
      <c r="AI95" s="7">
        <f t="shared" si="26"/>
        <v>0</v>
      </c>
      <c r="AJ95" s="7">
        <f t="shared" si="26"/>
        <v>0</v>
      </c>
    </row>
    <row r="96" spans="2:36" x14ac:dyDescent="0.2">
      <c r="B96" s="9">
        <f>+'I1 General Inputs'!$B$15</f>
        <v>1</v>
      </c>
      <c r="C96" s="15" t="str">
        <f>+'I1 General Inputs'!$C$15</f>
        <v>Option 1A</v>
      </c>
      <c r="D96" s="28"/>
      <c r="E96" s="13" t="s">
        <v>35</v>
      </c>
      <c r="F96" s="19">
        <f t="shared" ref="F96:F101" si="27">NPV(DiscountRate,G96:AJ96)/(1+DiscountRate)^(FirstYear-BaseYear-2)</f>
        <v>24041337.702969268</v>
      </c>
      <c r="G96" s="18">
        <f>IFERROR('I1 General Inputs'!$A15*(IF(Scenario_Select="Scenario 1",'I2 CBA Inputs'!F$81-'I2 CBA Inputs'!F82,0)+IF(Scenario_Select="Scenario 2",'I2 CBA Inputs'!F$90-'I2 CBA Inputs'!F91,0)+IF(Scenario_Select="Scenario 3",'I2 CBA Inputs'!F$99-'I2 CBA Inputs'!F100,0)+IF(Scenario_Select="Scenario 4",'I2 CBA Inputs'!F$108-'I2 CBA Inputs'!F109,0)),0)</f>
        <v>0</v>
      </c>
      <c r="H96" s="18">
        <f>IFERROR('I1 General Inputs'!$A15*(IF(Scenario_Select="Scenario 1",'I2 CBA Inputs'!G$81-'I2 CBA Inputs'!G82,0)+IF(Scenario_Select="Scenario 2",'I2 CBA Inputs'!G$90-'I2 CBA Inputs'!G91,0)+IF(Scenario_Select="Scenario 3",'I2 CBA Inputs'!G$99-'I2 CBA Inputs'!G100,0)+IF(Scenario_Select="Scenario 4",'I2 CBA Inputs'!G$108-'I2 CBA Inputs'!G109,0)),0)</f>
        <v>9.2285071590239092</v>
      </c>
      <c r="I96" s="18">
        <f>IFERROR('I1 General Inputs'!$A15*(IF(Scenario_Select="Scenario 1",'I2 CBA Inputs'!H$81-'I2 CBA Inputs'!H82,0)+IF(Scenario_Select="Scenario 2",'I2 CBA Inputs'!H$90-'I2 CBA Inputs'!H91,0)+IF(Scenario_Select="Scenario 3",'I2 CBA Inputs'!H$99-'I2 CBA Inputs'!H100,0)+IF(Scenario_Select="Scenario 4",'I2 CBA Inputs'!H$108-'I2 CBA Inputs'!H109,0)),0)</f>
        <v>0.76874098900143362</v>
      </c>
      <c r="J96" s="18">
        <f>IFERROR('I1 General Inputs'!$A15*(IF(Scenario_Select="Scenario 1",'I2 CBA Inputs'!I$81-'I2 CBA Inputs'!I82,0)+IF(Scenario_Select="Scenario 2",'I2 CBA Inputs'!I$90-'I2 CBA Inputs'!I91,0)+IF(Scenario_Select="Scenario 3",'I2 CBA Inputs'!I$99-'I2 CBA Inputs'!I100,0)+IF(Scenario_Select="Scenario 4",'I2 CBA Inputs'!I$108-'I2 CBA Inputs'!I109,0)),0)</f>
        <v>0.81266436931817054</v>
      </c>
      <c r="K96" s="18">
        <f>IFERROR('I1 General Inputs'!$A15*(IF(Scenario_Select="Scenario 1",'I2 CBA Inputs'!J$81-'I2 CBA Inputs'!J82,0)+IF(Scenario_Select="Scenario 2",'I2 CBA Inputs'!J$90-'I2 CBA Inputs'!J91,0)+IF(Scenario_Select="Scenario 3",'I2 CBA Inputs'!J$99-'I2 CBA Inputs'!J100,0)+IF(Scenario_Select="Scenario 4",'I2 CBA Inputs'!J$108-'I2 CBA Inputs'!J109,0)),0)</f>
        <v>1.6699743343111113</v>
      </c>
      <c r="L96" s="18">
        <f>IFERROR('I1 General Inputs'!$A15*(IF(Scenario_Select="Scenario 1",'I2 CBA Inputs'!K$81-'I2 CBA Inputs'!K82,0)+IF(Scenario_Select="Scenario 2",'I2 CBA Inputs'!K$90-'I2 CBA Inputs'!K91,0)+IF(Scenario_Select="Scenario 3",'I2 CBA Inputs'!K$99-'I2 CBA Inputs'!K100,0)+IF(Scenario_Select="Scenario 4",'I2 CBA Inputs'!K$108-'I2 CBA Inputs'!K109,0)),0)</f>
        <v>1.1662983186753644</v>
      </c>
      <c r="M96" s="18">
        <f>IFERROR('I1 General Inputs'!$A15*(IF(Scenario_Select="Scenario 1",'I2 CBA Inputs'!L$81-'I2 CBA Inputs'!L82,0)+IF(Scenario_Select="Scenario 2",'I2 CBA Inputs'!L$90-'I2 CBA Inputs'!L91,0)+IF(Scenario_Select="Scenario 3",'I2 CBA Inputs'!L$99-'I2 CBA Inputs'!L100,0)+IF(Scenario_Select="Scenario 4",'I2 CBA Inputs'!L$108-'I2 CBA Inputs'!L109,0)),0)</f>
        <v>1.1965649187672762</v>
      </c>
      <c r="N96" s="18">
        <f>IFERROR('I1 General Inputs'!$A15*(IF(Scenario_Select="Scenario 1",'I2 CBA Inputs'!M$81-'I2 CBA Inputs'!M82,0)+IF(Scenario_Select="Scenario 2",'I2 CBA Inputs'!M$90-'I2 CBA Inputs'!M91,0)+IF(Scenario_Select="Scenario 3",'I2 CBA Inputs'!M$99-'I2 CBA Inputs'!M100,0)+IF(Scenario_Select="Scenario 4",'I2 CBA Inputs'!M$108-'I2 CBA Inputs'!M109,0)),0)</f>
        <v>1.3678603040572148</v>
      </c>
      <c r="O96" s="18">
        <f>IFERROR('I1 General Inputs'!$A15*(IF(Scenario_Select="Scenario 1",'I2 CBA Inputs'!N$81-'I2 CBA Inputs'!N82,0)+IF(Scenario_Select="Scenario 2",'I2 CBA Inputs'!N$90-'I2 CBA Inputs'!N91,0)+IF(Scenario_Select="Scenario 3",'I2 CBA Inputs'!N$99-'I2 CBA Inputs'!N100,0)+IF(Scenario_Select="Scenario 4",'I2 CBA Inputs'!N$108-'I2 CBA Inputs'!N109,0)),0)</f>
        <v>2.1189566784597815</v>
      </c>
      <c r="P96" s="18">
        <f>IFERROR('I1 General Inputs'!$A15*(IF(Scenario_Select="Scenario 1",'I2 CBA Inputs'!O$81-'I2 CBA Inputs'!O82,0)+IF(Scenario_Select="Scenario 2",'I2 CBA Inputs'!O$90-'I2 CBA Inputs'!O91,0)+IF(Scenario_Select="Scenario 3",'I2 CBA Inputs'!O$99-'I2 CBA Inputs'!O100,0)+IF(Scenario_Select="Scenario 4",'I2 CBA Inputs'!O$108-'I2 CBA Inputs'!O109,0)),0)</f>
        <v>34700195.959896773</v>
      </c>
      <c r="Q96" s="18">
        <f>IFERROR('I1 General Inputs'!$A15*(IF(Scenario_Select="Scenario 1",'I2 CBA Inputs'!P$81-'I2 CBA Inputs'!P82,0)+IF(Scenario_Select="Scenario 2",'I2 CBA Inputs'!P$90-'I2 CBA Inputs'!P91,0)+IF(Scenario_Select="Scenario 3",'I2 CBA Inputs'!P$99-'I2 CBA Inputs'!P100,0)+IF(Scenario_Select="Scenario 4",'I2 CBA Inputs'!P$108-'I2 CBA Inputs'!P109,0)),0)</f>
        <v>4.0933343475248352</v>
      </c>
      <c r="R96" s="18">
        <f>IFERROR('I1 General Inputs'!$A15*(IF(Scenario_Select="Scenario 1",'I2 CBA Inputs'!Q$81-'I2 CBA Inputs'!Q82,0)+IF(Scenario_Select="Scenario 2",'I2 CBA Inputs'!Q$90-'I2 CBA Inputs'!Q91,0)+IF(Scenario_Select="Scenario 3",'I2 CBA Inputs'!Q$99-'I2 CBA Inputs'!Q100,0)+IF(Scenario_Select="Scenario 4",'I2 CBA Inputs'!Q$108-'I2 CBA Inputs'!Q109,0)),0)</f>
        <v>0.36643918918860885</v>
      </c>
      <c r="S96" s="18">
        <f>IFERROR('I1 General Inputs'!$A15*(IF(Scenario_Select="Scenario 1",'I2 CBA Inputs'!R$81-'I2 CBA Inputs'!R82,0)+IF(Scenario_Select="Scenario 2",'I2 CBA Inputs'!R$90-'I2 CBA Inputs'!R91,0)+IF(Scenario_Select="Scenario 3",'I2 CBA Inputs'!R$99-'I2 CBA Inputs'!R100,0)+IF(Scenario_Select="Scenario 4",'I2 CBA Inputs'!R$108-'I2 CBA Inputs'!R109,0)),0)</f>
        <v>3897628.5324236155</v>
      </c>
      <c r="T96" s="18">
        <f>IFERROR('I1 General Inputs'!$A15*(IF(Scenario_Select="Scenario 1",'I2 CBA Inputs'!S$81-'I2 CBA Inputs'!S82,0)+IF(Scenario_Select="Scenario 2",'I2 CBA Inputs'!S$90-'I2 CBA Inputs'!S91,0)+IF(Scenario_Select="Scenario 3",'I2 CBA Inputs'!S$99-'I2 CBA Inputs'!S100,0)+IF(Scenario_Select="Scenario 4",'I2 CBA Inputs'!S$108-'I2 CBA Inputs'!S109,0)),0)</f>
        <v>-9558842.0248517394</v>
      </c>
      <c r="U96" s="18">
        <f>IFERROR('I1 General Inputs'!$A15*(IF(Scenario_Select="Scenario 1",'I2 CBA Inputs'!T$81-'I2 CBA Inputs'!T82,0)+IF(Scenario_Select="Scenario 2",'I2 CBA Inputs'!T$90-'I2 CBA Inputs'!T91,0)+IF(Scenario_Select="Scenario 3",'I2 CBA Inputs'!T$99-'I2 CBA Inputs'!T100,0)+IF(Scenario_Select="Scenario 4",'I2 CBA Inputs'!T$108-'I2 CBA Inputs'!T109,0)),0)</f>
        <v>8649572.305178225</v>
      </c>
      <c r="V96" s="18">
        <f>IFERROR('I1 General Inputs'!$A15*(IF(Scenario_Select="Scenario 1",'I2 CBA Inputs'!U$81-'I2 CBA Inputs'!U82,0)+IF(Scenario_Select="Scenario 2",'I2 CBA Inputs'!U$90-'I2 CBA Inputs'!U91,0)+IF(Scenario_Select="Scenario 3",'I2 CBA Inputs'!U$99-'I2 CBA Inputs'!U100,0)+IF(Scenario_Select="Scenario 4",'I2 CBA Inputs'!U$108-'I2 CBA Inputs'!U109,0)),0)</f>
        <v>0</v>
      </c>
      <c r="W96" s="18">
        <f>IFERROR('I1 General Inputs'!$A15*(IF(Scenario_Select="Scenario 1",'I2 CBA Inputs'!V$81-'I2 CBA Inputs'!V82,0)+IF(Scenario_Select="Scenario 2",'I2 CBA Inputs'!V$90-'I2 CBA Inputs'!V91,0)+IF(Scenario_Select="Scenario 3",'I2 CBA Inputs'!V$99-'I2 CBA Inputs'!V100,0)+IF(Scenario_Select="Scenario 4",'I2 CBA Inputs'!V$108-'I2 CBA Inputs'!V109,0)),0)</f>
        <v>35043630.404209852</v>
      </c>
      <c r="X96" s="18">
        <f>IFERROR('I1 General Inputs'!$A15*(IF(Scenario_Select="Scenario 1",'I2 CBA Inputs'!W$81-'I2 CBA Inputs'!W82,0)+IF(Scenario_Select="Scenario 2",'I2 CBA Inputs'!W$90-'I2 CBA Inputs'!W91,0)+IF(Scenario_Select="Scenario 3",'I2 CBA Inputs'!W$99-'I2 CBA Inputs'!W100,0)+IF(Scenario_Select="Scenario 4",'I2 CBA Inputs'!W$108-'I2 CBA Inputs'!W109,0)),0)</f>
        <v>-2717331.9647295671</v>
      </c>
      <c r="Y96" s="18">
        <f>IFERROR('I1 General Inputs'!$A15*(IF(Scenario_Select="Scenario 1",'I2 CBA Inputs'!X$81-'I2 CBA Inputs'!X82,0)+IF(Scenario_Select="Scenario 2",'I2 CBA Inputs'!X$90-'I2 CBA Inputs'!X91,0)+IF(Scenario_Select="Scenario 3",'I2 CBA Inputs'!X$99-'I2 CBA Inputs'!X100,0)+IF(Scenario_Select="Scenario 4",'I2 CBA Inputs'!X$108-'I2 CBA Inputs'!X109,0)),0)</f>
        <v>0.3617294393966341</v>
      </c>
      <c r="Z96" s="18">
        <f>IFERROR('I1 General Inputs'!$A15*(IF(Scenario_Select="Scenario 1",'I2 CBA Inputs'!Y$81-'I2 CBA Inputs'!Y82,0)+IF(Scenario_Select="Scenario 2",'I2 CBA Inputs'!Y$90-'I2 CBA Inputs'!Y91,0)+IF(Scenario_Select="Scenario 3",'I2 CBA Inputs'!Y$99-'I2 CBA Inputs'!Y100,0)+IF(Scenario_Select="Scenario 4",'I2 CBA Inputs'!Y$108-'I2 CBA Inputs'!Y109,0)),0)</f>
        <v>1.5717611493242327</v>
      </c>
      <c r="AA96" s="18">
        <f>IFERROR('I1 General Inputs'!$A15*(IF(Scenario_Select="Scenario 1",'I2 CBA Inputs'!Z$81-'I2 CBA Inputs'!Z82,0)+IF(Scenario_Select="Scenario 2",'I2 CBA Inputs'!Z$90-'I2 CBA Inputs'!Z91,0)+IF(Scenario_Select="Scenario 3",'I2 CBA Inputs'!Z$99-'I2 CBA Inputs'!Z100,0)+IF(Scenario_Select="Scenario 4",'I2 CBA Inputs'!Z$108-'I2 CBA Inputs'!Z109,0)),0)</f>
        <v>-12996131.144153744</v>
      </c>
      <c r="AB96" s="18">
        <f>IFERROR('I1 General Inputs'!$A15*(IF(Scenario_Select="Scenario 1",'I2 CBA Inputs'!AA$81-'I2 CBA Inputs'!AA82,0)+IF(Scenario_Select="Scenario 2",'I2 CBA Inputs'!AA$90-'I2 CBA Inputs'!AA91,0)+IF(Scenario_Select="Scenario 3",'I2 CBA Inputs'!AA$99-'I2 CBA Inputs'!AA100,0)+IF(Scenario_Select="Scenario 4",'I2 CBA Inputs'!AA$108-'I2 CBA Inputs'!AA109,0)),0)</f>
        <v>-4540904.6075192923</v>
      </c>
      <c r="AC96" s="18">
        <f>IFERROR('I1 General Inputs'!$A15*(IF(Scenario_Select="Scenario 1",'I2 CBA Inputs'!AB$81-'I2 CBA Inputs'!AB82,0)+IF(Scenario_Select="Scenario 2",'I2 CBA Inputs'!AB$90-'I2 CBA Inputs'!AB91,0)+IF(Scenario_Select="Scenario 3",'I2 CBA Inputs'!AB$99-'I2 CBA Inputs'!AB100,0)+IF(Scenario_Select="Scenario 4",'I2 CBA Inputs'!AB$108-'I2 CBA Inputs'!AB109,0)),0)</f>
        <v>3.2608192129244742</v>
      </c>
      <c r="AD96" s="18">
        <f>IFERROR('I1 General Inputs'!$A15*(IF(Scenario_Select="Scenario 1",'I2 CBA Inputs'!AC$81-'I2 CBA Inputs'!AC82,0)+IF(Scenario_Select="Scenario 2",'I2 CBA Inputs'!AC$90-'I2 CBA Inputs'!AC91,0)+IF(Scenario_Select="Scenario 3",'I2 CBA Inputs'!AC$99-'I2 CBA Inputs'!AC100,0)+IF(Scenario_Select="Scenario 4",'I2 CBA Inputs'!AC$108-'I2 CBA Inputs'!AC109,0)),0)</f>
        <v>12951456.830413543</v>
      </c>
      <c r="AE96" s="18">
        <f>IFERROR('I1 General Inputs'!$A15*(IF(Scenario_Select="Scenario 1",'I2 CBA Inputs'!AD$81-'I2 CBA Inputs'!AD82,0)+IF(Scenario_Select="Scenario 2",'I2 CBA Inputs'!AD$90-'I2 CBA Inputs'!AD91,0)+IF(Scenario_Select="Scenario 3",'I2 CBA Inputs'!AD$99-'I2 CBA Inputs'!AD100,0)+IF(Scenario_Select="Scenario 4",'I2 CBA Inputs'!AD$108-'I2 CBA Inputs'!AD109,0)),0)</f>
        <v>-36249735.207938731</v>
      </c>
      <c r="AF96" s="18">
        <f>'I1 General Inputs'!$A15*(IF(Scenario_Select="Scenario 1",'I2 CBA Inputs'!AE$81-'I2 CBA Inputs'!AE82,0)+IF(Scenario_Select="Scenario 2",'I2 CBA Inputs'!AE$90-'I2 CBA Inputs'!AE91,0)+IF(Scenario_Select="Scenario 3",'I2 CBA Inputs'!AE$99-'I2 CBA Inputs'!AE100,0)+IF(Scenario_Select="Scenario 4",'I2 CBA Inputs'!AE$108-'I2 CBA Inputs'!AE109,0))</f>
        <v>980795.02470212243</v>
      </c>
      <c r="AG96" s="18">
        <f>'I1 General Inputs'!$A15*(IF(Scenario_Select="Scenario 1",'I2 CBA Inputs'!AF$81-'I2 CBA Inputs'!AF82,0)+IF(Scenario_Select="Scenario 2",'I2 CBA Inputs'!AF$90-'I2 CBA Inputs'!AF91,0)+IF(Scenario_Select="Scenario 3",'I2 CBA Inputs'!AF$99-'I2 CBA Inputs'!AF100,0)+IF(Scenario_Select="Scenario 4",'I2 CBA Inputs'!AF$108-'I2 CBA Inputs'!AF109,0))</f>
        <v>0</v>
      </c>
      <c r="AH96" s="18">
        <f>'I1 General Inputs'!$A15*(IF(Scenario_Select="Scenario 1",'I2 CBA Inputs'!AG$81-'I2 CBA Inputs'!AG82,0)+IF(Scenario_Select="Scenario 2",'I2 CBA Inputs'!AG$90-'I2 CBA Inputs'!AG91,0)+IF(Scenario_Select="Scenario 3",'I2 CBA Inputs'!AG$99-'I2 CBA Inputs'!AG100,0)+IF(Scenario_Select="Scenario 4",'I2 CBA Inputs'!AG$108-'I2 CBA Inputs'!AG109,0))</f>
        <v>0</v>
      </c>
      <c r="AI96" s="18">
        <f>'I1 General Inputs'!$A15*(IF(Scenario_Select="Scenario 1",'I2 CBA Inputs'!AH$81-'I2 CBA Inputs'!AH82,0)+IF(Scenario_Select="Scenario 2",'I2 CBA Inputs'!AH$90-'I2 CBA Inputs'!AH91,0)+IF(Scenario_Select="Scenario 3",'I2 CBA Inputs'!AH$99-'I2 CBA Inputs'!AH100,0)+IF(Scenario_Select="Scenario 4",'I2 CBA Inputs'!AH$108-'I2 CBA Inputs'!AH109,0))</f>
        <v>0</v>
      </c>
      <c r="AJ96" s="18">
        <f>'I1 General Inputs'!$A15*(IF(Scenario_Select="Scenario 1",'I2 CBA Inputs'!AI$81-'I2 CBA Inputs'!AI82,0)+IF(Scenario_Select="Scenario 2",'I2 CBA Inputs'!AI$90-'I2 CBA Inputs'!AI91,0)+IF(Scenario_Select="Scenario 3",'I2 CBA Inputs'!AI$99-'I2 CBA Inputs'!AI100,0)+IF(Scenario_Select="Scenario 4",'I2 CBA Inputs'!AI$108-'I2 CBA Inputs'!AI109,0))</f>
        <v>0</v>
      </c>
    </row>
    <row r="97" spans="2:36" x14ac:dyDescent="0.2">
      <c r="B97" s="9">
        <f>+'I1 General Inputs'!$B$16</f>
        <v>2</v>
      </c>
      <c r="C97" s="15" t="str">
        <f>+'I1 General Inputs'!$C$16</f>
        <v>Option 1B</v>
      </c>
      <c r="D97" s="28"/>
      <c r="E97" s="13" t="s">
        <v>35</v>
      </c>
      <c r="F97" s="19">
        <f t="shared" si="27"/>
        <v>18370986.638124477</v>
      </c>
      <c r="G97" s="18">
        <f>IFERROR('I1 General Inputs'!$A16*(IF(Scenario_Select="Scenario 1",'I2 CBA Inputs'!F$81-'I2 CBA Inputs'!F83,0)+IF(Scenario_Select="Scenario 2",'I2 CBA Inputs'!F$90-'I2 CBA Inputs'!F92,0)+IF(Scenario_Select="Scenario 3",'I2 CBA Inputs'!F$99-'I2 CBA Inputs'!F101,0)+IF(Scenario_Select="Scenario 4",'I2 CBA Inputs'!F$108-'I2 CBA Inputs'!F110,0)),0)</f>
        <v>0</v>
      </c>
      <c r="H97" s="18">
        <f>IFERROR('I1 General Inputs'!$A16*(IF(Scenario_Select="Scenario 1",'I2 CBA Inputs'!G$81-'I2 CBA Inputs'!G83,0)+IF(Scenario_Select="Scenario 2",'I2 CBA Inputs'!G$90-'I2 CBA Inputs'!G92,0)+IF(Scenario_Select="Scenario 3",'I2 CBA Inputs'!G$99-'I2 CBA Inputs'!G101,0)+IF(Scenario_Select="Scenario 4",'I2 CBA Inputs'!G$108-'I2 CBA Inputs'!G110,0)),0)</f>
        <v>-16.0204122156366</v>
      </c>
      <c r="I97" s="18">
        <f>IFERROR('I1 General Inputs'!$A16*(IF(Scenario_Select="Scenario 1",'I2 CBA Inputs'!H$81-'I2 CBA Inputs'!H83,0)+IF(Scenario_Select="Scenario 2",'I2 CBA Inputs'!H$90-'I2 CBA Inputs'!H92,0)+IF(Scenario_Select="Scenario 3",'I2 CBA Inputs'!H$99-'I2 CBA Inputs'!H101,0)+IF(Scenario_Select="Scenario 4",'I2 CBA Inputs'!H$108-'I2 CBA Inputs'!H110,0)),0)</f>
        <v>-1.5101232851630324</v>
      </c>
      <c r="J97" s="18">
        <f>IFERROR('I1 General Inputs'!$A16*(IF(Scenario_Select="Scenario 1",'I2 CBA Inputs'!I$81-'I2 CBA Inputs'!I83,0)+IF(Scenario_Select="Scenario 2",'I2 CBA Inputs'!I$90-'I2 CBA Inputs'!I92,0)+IF(Scenario_Select="Scenario 3",'I2 CBA Inputs'!I$99-'I2 CBA Inputs'!I101,0)+IF(Scenario_Select="Scenario 4",'I2 CBA Inputs'!I$108-'I2 CBA Inputs'!I110,0)),0)</f>
        <v>-1.2467652301789667</v>
      </c>
      <c r="K97" s="18">
        <f>IFERROR('I1 General Inputs'!$A16*(IF(Scenario_Select="Scenario 1",'I2 CBA Inputs'!J$81-'I2 CBA Inputs'!J83,0)+IF(Scenario_Select="Scenario 2",'I2 CBA Inputs'!J$90-'I2 CBA Inputs'!J92,0)+IF(Scenario_Select="Scenario 3",'I2 CBA Inputs'!J$99-'I2 CBA Inputs'!J101,0)+IF(Scenario_Select="Scenario 4",'I2 CBA Inputs'!J$108-'I2 CBA Inputs'!J110,0)),0)</f>
        <v>-2.8204303765534395</v>
      </c>
      <c r="L97" s="18">
        <f>IFERROR('I1 General Inputs'!$A16*(IF(Scenario_Select="Scenario 1",'I2 CBA Inputs'!K$81-'I2 CBA Inputs'!K83,0)+IF(Scenario_Select="Scenario 2",'I2 CBA Inputs'!K$90-'I2 CBA Inputs'!K92,0)+IF(Scenario_Select="Scenario 3",'I2 CBA Inputs'!K$99-'I2 CBA Inputs'!K101,0)+IF(Scenario_Select="Scenario 4",'I2 CBA Inputs'!K$108-'I2 CBA Inputs'!K110,0)),0)</f>
        <v>-2.0202980691767061</v>
      </c>
      <c r="M97" s="18">
        <f>IFERROR('I1 General Inputs'!$A16*(IF(Scenario_Select="Scenario 1",'I2 CBA Inputs'!L$81-'I2 CBA Inputs'!L83,0)+IF(Scenario_Select="Scenario 2",'I2 CBA Inputs'!L$90-'I2 CBA Inputs'!L92,0)+IF(Scenario_Select="Scenario 3",'I2 CBA Inputs'!L$99-'I2 CBA Inputs'!L101,0)+IF(Scenario_Select="Scenario 4",'I2 CBA Inputs'!L$108-'I2 CBA Inputs'!L110,0)),0)</f>
        <v>-2.1444835792600272</v>
      </c>
      <c r="N97" s="18">
        <f>IFERROR('I1 General Inputs'!$A16*(IF(Scenario_Select="Scenario 1",'I2 CBA Inputs'!M$81-'I2 CBA Inputs'!M83,0)+IF(Scenario_Select="Scenario 2",'I2 CBA Inputs'!M$90-'I2 CBA Inputs'!M92,0)+IF(Scenario_Select="Scenario 3",'I2 CBA Inputs'!M$99-'I2 CBA Inputs'!M101,0)+IF(Scenario_Select="Scenario 4",'I2 CBA Inputs'!M$108-'I2 CBA Inputs'!M110,0)),0)</f>
        <v>-1.6880823327449046</v>
      </c>
      <c r="O97" s="18">
        <f>IFERROR('I1 General Inputs'!$A16*(IF(Scenario_Select="Scenario 1",'I2 CBA Inputs'!N$81-'I2 CBA Inputs'!N83,0)+IF(Scenario_Select="Scenario 2",'I2 CBA Inputs'!N$90-'I2 CBA Inputs'!N92,0)+IF(Scenario_Select="Scenario 3",'I2 CBA Inputs'!N$99-'I2 CBA Inputs'!N101,0)+IF(Scenario_Select="Scenario 4",'I2 CBA Inputs'!N$108-'I2 CBA Inputs'!N110,0)),0)</f>
        <v>-3.6985604841082345</v>
      </c>
      <c r="P97" s="18">
        <f>IFERROR('I1 General Inputs'!$A16*(IF(Scenario_Select="Scenario 1",'I2 CBA Inputs'!O$81-'I2 CBA Inputs'!O83,0)+IF(Scenario_Select="Scenario 2",'I2 CBA Inputs'!O$90-'I2 CBA Inputs'!O92,0)+IF(Scenario_Select="Scenario 3",'I2 CBA Inputs'!O$99-'I2 CBA Inputs'!O101,0)+IF(Scenario_Select="Scenario 4",'I2 CBA Inputs'!O$108-'I2 CBA Inputs'!O110,0)),0)</f>
        <v>21548417.817579776</v>
      </c>
      <c r="Q97" s="18">
        <f>IFERROR('I1 General Inputs'!$A16*(IF(Scenario_Select="Scenario 1",'I2 CBA Inputs'!P$81-'I2 CBA Inputs'!P83,0)+IF(Scenario_Select="Scenario 2",'I2 CBA Inputs'!P$90-'I2 CBA Inputs'!P92,0)+IF(Scenario_Select="Scenario 3",'I2 CBA Inputs'!P$99-'I2 CBA Inputs'!P101,0)+IF(Scenario_Select="Scenario 4",'I2 CBA Inputs'!P$108-'I2 CBA Inputs'!P110,0)),0)</f>
        <v>-7.3011709981904556</v>
      </c>
      <c r="R97" s="18">
        <f>IFERROR('I1 General Inputs'!$A16*(IF(Scenario_Select="Scenario 1",'I2 CBA Inputs'!Q$81-'I2 CBA Inputs'!Q83,0)+IF(Scenario_Select="Scenario 2",'I2 CBA Inputs'!Q$90-'I2 CBA Inputs'!Q92,0)+IF(Scenario_Select="Scenario 3",'I2 CBA Inputs'!Q$99-'I2 CBA Inputs'!Q101,0)+IF(Scenario_Select="Scenario 4",'I2 CBA Inputs'!Q$108-'I2 CBA Inputs'!Q110,0)),0)</f>
        <v>-0.67009116537386537</v>
      </c>
      <c r="S97" s="18">
        <f>IFERROR('I1 General Inputs'!$A16*(IF(Scenario_Select="Scenario 1",'I2 CBA Inputs'!R$81-'I2 CBA Inputs'!R83,0)+IF(Scenario_Select="Scenario 2",'I2 CBA Inputs'!R$90-'I2 CBA Inputs'!R92,0)+IF(Scenario_Select="Scenario 3",'I2 CBA Inputs'!R$99-'I2 CBA Inputs'!R101,0)+IF(Scenario_Select="Scenario 4",'I2 CBA Inputs'!R$108-'I2 CBA Inputs'!R110,0)),0)</f>
        <v>6771073.7705751657</v>
      </c>
      <c r="T97" s="18">
        <f>IFERROR('I1 General Inputs'!$A16*(IF(Scenario_Select="Scenario 1",'I2 CBA Inputs'!S$81-'I2 CBA Inputs'!S83,0)+IF(Scenario_Select="Scenario 2",'I2 CBA Inputs'!S$90-'I2 CBA Inputs'!S92,0)+IF(Scenario_Select="Scenario 3",'I2 CBA Inputs'!S$99-'I2 CBA Inputs'!S101,0)+IF(Scenario_Select="Scenario 4",'I2 CBA Inputs'!S$108-'I2 CBA Inputs'!S110,0)),0)</f>
        <v>3217377.6816552281</v>
      </c>
      <c r="U97" s="18">
        <f>IFERROR('I1 General Inputs'!$A16*(IF(Scenario_Select="Scenario 1",'I2 CBA Inputs'!T$81-'I2 CBA Inputs'!T83,0)+IF(Scenario_Select="Scenario 2",'I2 CBA Inputs'!T$90-'I2 CBA Inputs'!T92,0)+IF(Scenario_Select="Scenario 3",'I2 CBA Inputs'!T$99-'I2 CBA Inputs'!T101,0)+IF(Scenario_Select="Scenario 4",'I2 CBA Inputs'!T$108-'I2 CBA Inputs'!T110,0)),0)</f>
        <v>17800293.490883306</v>
      </c>
      <c r="V97" s="18">
        <f>IFERROR('I1 General Inputs'!$A16*(IF(Scenario_Select="Scenario 1",'I2 CBA Inputs'!U$81-'I2 CBA Inputs'!U83,0)+IF(Scenario_Select="Scenario 2",'I2 CBA Inputs'!U$90-'I2 CBA Inputs'!U92,0)+IF(Scenario_Select="Scenario 3",'I2 CBA Inputs'!U$99-'I2 CBA Inputs'!U101,0)+IF(Scenario_Select="Scenario 4",'I2 CBA Inputs'!U$108-'I2 CBA Inputs'!U110,0)),0)</f>
        <v>-2.5400201384419296E-2</v>
      </c>
      <c r="W97" s="18">
        <f>IFERROR('I1 General Inputs'!$A16*(IF(Scenario_Select="Scenario 1",'I2 CBA Inputs'!V$81-'I2 CBA Inputs'!V83,0)+IF(Scenario_Select="Scenario 2",'I2 CBA Inputs'!V$90-'I2 CBA Inputs'!V92,0)+IF(Scenario_Select="Scenario 3",'I2 CBA Inputs'!V$99-'I2 CBA Inputs'!V101,0)+IF(Scenario_Select="Scenario 4",'I2 CBA Inputs'!V$108-'I2 CBA Inputs'!V110,0)),0)</f>
        <v>10652693.80234766</v>
      </c>
      <c r="X97" s="18">
        <f>IFERROR('I1 General Inputs'!$A16*(IF(Scenario_Select="Scenario 1",'I2 CBA Inputs'!W$81-'I2 CBA Inputs'!W83,0)+IF(Scenario_Select="Scenario 2",'I2 CBA Inputs'!W$90-'I2 CBA Inputs'!W92,0)+IF(Scenario_Select="Scenario 3",'I2 CBA Inputs'!W$99-'I2 CBA Inputs'!W101,0)+IF(Scenario_Select="Scenario 4",'I2 CBA Inputs'!W$108-'I2 CBA Inputs'!W110,0)),0)</f>
        <v>-17002280.701360922</v>
      </c>
      <c r="Y97" s="18">
        <f>IFERROR('I1 General Inputs'!$A16*(IF(Scenario_Select="Scenario 1",'I2 CBA Inputs'!X$81-'I2 CBA Inputs'!X83,0)+IF(Scenario_Select="Scenario 2",'I2 CBA Inputs'!X$90-'I2 CBA Inputs'!X92,0)+IF(Scenario_Select="Scenario 3",'I2 CBA Inputs'!X$99-'I2 CBA Inputs'!X101,0)+IF(Scenario_Select="Scenario 4",'I2 CBA Inputs'!X$108-'I2 CBA Inputs'!X110,0)),0)</f>
        <v>-0.74532690019448467</v>
      </c>
      <c r="Z97" s="18">
        <f>IFERROR('I1 General Inputs'!$A16*(IF(Scenario_Select="Scenario 1",'I2 CBA Inputs'!Y$81-'I2 CBA Inputs'!Y83,0)+IF(Scenario_Select="Scenario 2",'I2 CBA Inputs'!Y$90-'I2 CBA Inputs'!Y92,0)+IF(Scenario_Select="Scenario 3",'I2 CBA Inputs'!Y$99-'I2 CBA Inputs'!Y101,0)+IF(Scenario_Select="Scenario 4",'I2 CBA Inputs'!Y$108-'I2 CBA Inputs'!Y110,0)),0)</f>
        <v>-2.4694390306899932</v>
      </c>
      <c r="AA97" s="18">
        <f>IFERROR('I1 General Inputs'!$A16*(IF(Scenario_Select="Scenario 1",'I2 CBA Inputs'!Z$81-'I2 CBA Inputs'!Z83,0)+IF(Scenario_Select="Scenario 2",'I2 CBA Inputs'!Z$90-'I2 CBA Inputs'!Z92,0)+IF(Scenario_Select="Scenario 3",'I2 CBA Inputs'!Z$99-'I2 CBA Inputs'!Z101,0)+IF(Scenario_Select="Scenario 4",'I2 CBA Inputs'!Z$108-'I2 CBA Inputs'!Z110,0)),0)</f>
        <v>-2586413.3830321431</v>
      </c>
      <c r="AB97" s="18">
        <f>IFERROR('I1 General Inputs'!$A16*(IF(Scenario_Select="Scenario 1",'I2 CBA Inputs'!AA$81-'I2 CBA Inputs'!AA83,0)+IF(Scenario_Select="Scenario 2",'I2 CBA Inputs'!AA$90-'I2 CBA Inputs'!AA92,0)+IF(Scenario_Select="Scenario 3",'I2 CBA Inputs'!AA$99-'I2 CBA Inputs'!AA101,0)+IF(Scenario_Select="Scenario 4",'I2 CBA Inputs'!AA$108-'I2 CBA Inputs'!AA110,0)),0)</f>
        <v>-10116678.984414143</v>
      </c>
      <c r="AC97" s="18">
        <f>IFERROR('I1 General Inputs'!$A16*(IF(Scenario_Select="Scenario 1",'I2 CBA Inputs'!AB$81-'I2 CBA Inputs'!AB83,0)+IF(Scenario_Select="Scenario 2",'I2 CBA Inputs'!AB$90-'I2 CBA Inputs'!AB92,0)+IF(Scenario_Select="Scenario 3",'I2 CBA Inputs'!AB$99-'I2 CBA Inputs'!AB101,0)+IF(Scenario_Select="Scenario 4",'I2 CBA Inputs'!AB$108-'I2 CBA Inputs'!AB110,0)),0)</f>
        <v>-6.1036989336456138</v>
      </c>
      <c r="AD97" s="18">
        <f>IFERROR('I1 General Inputs'!$A16*(IF(Scenario_Select="Scenario 1",'I2 CBA Inputs'!AC$81-'I2 CBA Inputs'!AC83,0)+IF(Scenario_Select="Scenario 2",'I2 CBA Inputs'!AC$90-'I2 CBA Inputs'!AC92,0)+IF(Scenario_Select="Scenario 3",'I2 CBA Inputs'!AC$99-'I2 CBA Inputs'!AC101,0)+IF(Scenario_Select="Scenario 4",'I2 CBA Inputs'!AC$108-'I2 CBA Inputs'!AC110,0)),0)</f>
        <v>889359.24669113755</v>
      </c>
      <c r="AE97" s="18">
        <f>IFERROR('I1 General Inputs'!$A16*(IF(Scenario_Select="Scenario 1",'I2 CBA Inputs'!AD$81-'I2 CBA Inputs'!AD83,0)+IF(Scenario_Select="Scenario 2",'I2 CBA Inputs'!AD$90-'I2 CBA Inputs'!AD92,0)+IF(Scenario_Select="Scenario 3",'I2 CBA Inputs'!AD$99-'I2 CBA Inputs'!AD101,0)+IF(Scenario_Select="Scenario 4",'I2 CBA Inputs'!AD$108-'I2 CBA Inputs'!AD110,0)),0)</f>
        <v>-6587903.3219349086</v>
      </c>
      <c r="AF97" s="18">
        <f>'I1 General Inputs'!$A16*(IF(Scenario_Select="Scenario 1",'I2 CBA Inputs'!AE$81-'I2 CBA Inputs'!AE83,0)+IF(Scenario_Select="Scenario 2",'I2 CBA Inputs'!AE$90-'I2 CBA Inputs'!AE92,0)+IF(Scenario_Select="Scenario 3",'I2 CBA Inputs'!AE$99-'I2 CBA Inputs'!AE101,0)+IF(Scenario_Select="Scenario 4",'I2 CBA Inputs'!AE$108-'I2 CBA Inputs'!AE110,0))</f>
        <v>176797.8210239131</v>
      </c>
      <c r="AG97" s="18">
        <f>'I1 General Inputs'!$A16*(IF(Scenario_Select="Scenario 1",'I2 CBA Inputs'!AF$81-'I2 CBA Inputs'!AF83,0)+IF(Scenario_Select="Scenario 2",'I2 CBA Inputs'!AF$90-'I2 CBA Inputs'!AF92,0)+IF(Scenario_Select="Scenario 3",'I2 CBA Inputs'!AF$99-'I2 CBA Inputs'!AF101,0)+IF(Scenario_Select="Scenario 4",'I2 CBA Inputs'!AF$108-'I2 CBA Inputs'!AF110,0))</f>
        <v>0</v>
      </c>
      <c r="AH97" s="18">
        <f>'I1 General Inputs'!$A16*(IF(Scenario_Select="Scenario 1",'I2 CBA Inputs'!AG$81-'I2 CBA Inputs'!AG83,0)+IF(Scenario_Select="Scenario 2",'I2 CBA Inputs'!AG$90-'I2 CBA Inputs'!AG92,0)+IF(Scenario_Select="Scenario 3",'I2 CBA Inputs'!AG$99-'I2 CBA Inputs'!AG101,0)+IF(Scenario_Select="Scenario 4",'I2 CBA Inputs'!AG$108-'I2 CBA Inputs'!AG110,0))</f>
        <v>0</v>
      </c>
      <c r="AI97" s="18">
        <f>'I1 General Inputs'!$A16*(IF(Scenario_Select="Scenario 1",'I2 CBA Inputs'!AH$81-'I2 CBA Inputs'!AH83,0)+IF(Scenario_Select="Scenario 2",'I2 CBA Inputs'!AH$90-'I2 CBA Inputs'!AH92,0)+IF(Scenario_Select="Scenario 3",'I2 CBA Inputs'!AH$99-'I2 CBA Inputs'!AH101,0)+IF(Scenario_Select="Scenario 4",'I2 CBA Inputs'!AH$108-'I2 CBA Inputs'!AH110,0))</f>
        <v>0</v>
      </c>
      <c r="AJ97" s="18">
        <f>'I1 General Inputs'!$A16*(IF(Scenario_Select="Scenario 1",'I2 CBA Inputs'!AI$81-'I2 CBA Inputs'!AI83,0)+IF(Scenario_Select="Scenario 2",'I2 CBA Inputs'!AI$90-'I2 CBA Inputs'!AI92,0)+IF(Scenario_Select="Scenario 3",'I2 CBA Inputs'!AI$99-'I2 CBA Inputs'!AI101,0)+IF(Scenario_Select="Scenario 4",'I2 CBA Inputs'!AI$108-'I2 CBA Inputs'!AI110,0))</f>
        <v>0</v>
      </c>
    </row>
    <row r="98" spans="2:36" x14ac:dyDescent="0.2">
      <c r="B98" s="9">
        <f>+'I1 General Inputs'!$B$17</f>
        <v>3</v>
      </c>
      <c r="C98" s="15" t="str">
        <f>+'I1 General Inputs'!$C$17</f>
        <v>Option 1C</v>
      </c>
      <c r="D98" s="28"/>
      <c r="E98" s="13" t="s">
        <v>35</v>
      </c>
      <c r="F98" s="19">
        <f t="shared" si="27"/>
        <v>-1358871.145994066</v>
      </c>
      <c r="G98" s="18">
        <f>IFERROR('I1 General Inputs'!$A17*(IF(Scenario_Select="Scenario 1",'I2 CBA Inputs'!F$81-'I2 CBA Inputs'!F84,0)+IF(Scenario_Select="Scenario 2",'I2 CBA Inputs'!F$90-'I2 CBA Inputs'!F93,0)+IF(Scenario_Select="Scenario 3",'I2 CBA Inputs'!F$99-'I2 CBA Inputs'!F102,0)+IF(Scenario_Select="Scenario 4",'I2 CBA Inputs'!F$108-'I2 CBA Inputs'!F111,0)),0)</f>
        <v>0</v>
      </c>
      <c r="H98" s="18">
        <f>IFERROR('I1 General Inputs'!$A17*(IF(Scenario_Select="Scenario 1",'I2 CBA Inputs'!G$81-'I2 CBA Inputs'!G84,0)+IF(Scenario_Select="Scenario 2",'I2 CBA Inputs'!G$90-'I2 CBA Inputs'!G93,0)+IF(Scenario_Select="Scenario 3",'I2 CBA Inputs'!G$99-'I2 CBA Inputs'!G102,0)+IF(Scenario_Select="Scenario 4",'I2 CBA Inputs'!G$108-'I2 CBA Inputs'!G111,0)),0)</f>
        <v>8.1424775761672361</v>
      </c>
      <c r="I98" s="18">
        <f>IFERROR('I1 General Inputs'!$A17*(IF(Scenario_Select="Scenario 1",'I2 CBA Inputs'!H$81-'I2 CBA Inputs'!H84,0)+IF(Scenario_Select="Scenario 2",'I2 CBA Inputs'!H$90-'I2 CBA Inputs'!H93,0)+IF(Scenario_Select="Scenario 3",'I2 CBA Inputs'!H$99-'I2 CBA Inputs'!H102,0)+IF(Scenario_Select="Scenario 4",'I2 CBA Inputs'!H$108-'I2 CBA Inputs'!H111,0)),0)</f>
        <v>0.67398139257226541</v>
      </c>
      <c r="J98" s="18">
        <f>IFERROR('I1 General Inputs'!$A17*(IF(Scenario_Select="Scenario 1",'I2 CBA Inputs'!I$81-'I2 CBA Inputs'!I84,0)+IF(Scenario_Select="Scenario 2",'I2 CBA Inputs'!I$90-'I2 CBA Inputs'!I93,0)+IF(Scenario_Select="Scenario 3",'I2 CBA Inputs'!I$99-'I2 CBA Inputs'!I102,0)+IF(Scenario_Select="Scenario 4",'I2 CBA Inputs'!I$108-'I2 CBA Inputs'!I111,0)),0)</f>
        <v>0.64302517583244589</v>
      </c>
      <c r="K98" s="18">
        <f>IFERROR('I1 General Inputs'!$A17*(IF(Scenario_Select="Scenario 1",'I2 CBA Inputs'!J$81-'I2 CBA Inputs'!J84,0)+IF(Scenario_Select="Scenario 2",'I2 CBA Inputs'!J$90-'I2 CBA Inputs'!J93,0)+IF(Scenario_Select="Scenario 3",'I2 CBA Inputs'!J$99-'I2 CBA Inputs'!J102,0)+IF(Scenario_Select="Scenario 4",'I2 CBA Inputs'!J$108-'I2 CBA Inputs'!J111,0)),0)</f>
        <v>1.5529825050367765</v>
      </c>
      <c r="L98" s="18">
        <f>IFERROR('I1 General Inputs'!$A17*(IF(Scenario_Select="Scenario 1",'I2 CBA Inputs'!K$81-'I2 CBA Inputs'!K84,0)+IF(Scenario_Select="Scenario 2",'I2 CBA Inputs'!K$90-'I2 CBA Inputs'!K93,0)+IF(Scenario_Select="Scenario 3",'I2 CBA Inputs'!K$99-'I2 CBA Inputs'!K102,0)+IF(Scenario_Select="Scenario 4",'I2 CBA Inputs'!K$108-'I2 CBA Inputs'!K111,0)),0)</f>
        <v>1.0263434820847956</v>
      </c>
      <c r="M98" s="18">
        <f>IFERROR('I1 General Inputs'!$A17*(IF(Scenario_Select="Scenario 1",'I2 CBA Inputs'!L$81-'I2 CBA Inputs'!L84,0)+IF(Scenario_Select="Scenario 2",'I2 CBA Inputs'!L$90-'I2 CBA Inputs'!L93,0)+IF(Scenario_Select="Scenario 3",'I2 CBA Inputs'!L$99-'I2 CBA Inputs'!L102,0)+IF(Scenario_Select="Scenario 4",'I2 CBA Inputs'!L$108-'I2 CBA Inputs'!L111,0)),0)</f>
        <v>1.0845800810465549</v>
      </c>
      <c r="N98" s="18">
        <f>IFERROR('I1 General Inputs'!$A17*(IF(Scenario_Select="Scenario 1",'I2 CBA Inputs'!M$81-'I2 CBA Inputs'!M84,0)+IF(Scenario_Select="Scenario 2",'I2 CBA Inputs'!M$90-'I2 CBA Inputs'!M93,0)+IF(Scenario_Select="Scenario 3",'I2 CBA Inputs'!M$99-'I2 CBA Inputs'!M102,0)+IF(Scenario_Select="Scenario 4",'I2 CBA Inputs'!M$108-'I2 CBA Inputs'!M111,0)),0)</f>
        <v>1.1249221379171006</v>
      </c>
      <c r="O98" s="18">
        <f>IFERROR('I1 General Inputs'!$A17*(IF(Scenario_Select="Scenario 1",'I2 CBA Inputs'!N$81-'I2 CBA Inputs'!N84,0)+IF(Scenario_Select="Scenario 2",'I2 CBA Inputs'!N$90-'I2 CBA Inputs'!N93,0)+IF(Scenario_Select="Scenario 3",'I2 CBA Inputs'!N$99-'I2 CBA Inputs'!N102,0)+IF(Scenario_Select="Scenario 4",'I2 CBA Inputs'!N$108-'I2 CBA Inputs'!N111,0)),0)</f>
        <v>1.8823717907331732</v>
      </c>
      <c r="P98" s="18">
        <f>IFERROR('I1 General Inputs'!$A17*(IF(Scenario_Select="Scenario 1",'I2 CBA Inputs'!O$81-'I2 CBA Inputs'!O84,0)+IF(Scenario_Select="Scenario 2",'I2 CBA Inputs'!O$90-'I2 CBA Inputs'!O93,0)+IF(Scenario_Select="Scenario 3",'I2 CBA Inputs'!O$99-'I2 CBA Inputs'!O102,0)+IF(Scenario_Select="Scenario 4",'I2 CBA Inputs'!O$108-'I2 CBA Inputs'!O111,0)),0)</f>
        <v>-3213032.2367092073</v>
      </c>
      <c r="Q98" s="18">
        <f>IFERROR('I1 General Inputs'!$A17*(IF(Scenario_Select="Scenario 1",'I2 CBA Inputs'!P$81-'I2 CBA Inputs'!P84,0)+IF(Scenario_Select="Scenario 2",'I2 CBA Inputs'!P$90-'I2 CBA Inputs'!P93,0)+IF(Scenario_Select="Scenario 3",'I2 CBA Inputs'!P$99-'I2 CBA Inputs'!P102,0)+IF(Scenario_Select="Scenario 4",'I2 CBA Inputs'!P$108-'I2 CBA Inputs'!P111,0)),0)</f>
        <v>3.6267760906683093</v>
      </c>
      <c r="R98" s="18">
        <f>IFERROR('I1 General Inputs'!$A17*(IF(Scenario_Select="Scenario 1",'I2 CBA Inputs'!Q$81-'I2 CBA Inputs'!Q84,0)+IF(Scenario_Select="Scenario 2",'I2 CBA Inputs'!Q$90-'I2 CBA Inputs'!Q93,0)+IF(Scenario_Select="Scenario 3",'I2 CBA Inputs'!Q$99-'I2 CBA Inputs'!Q102,0)+IF(Scenario_Select="Scenario 4",'I2 CBA Inputs'!Q$108-'I2 CBA Inputs'!Q111,0)),0)</f>
        <v>0.36953738084792614</v>
      </c>
      <c r="S98" s="18">
        <f>IFERROR('I1 General Inputs'!$A17*(IF(Scenario_Select="Scenario 1",'I2 CBA Inputs'!R$81-'I2 CBA Inputs'!R84,0)+IF(Scenario_Select="Scenario 2",'I2 CBA Inputs'!R$90-'I2 CBA Inputs'!R93,0)+IF(Scenario_Select="Scenario 3",'I2 CBA Inputs'!R$99-'I2 CBA Inputs'!R102,0)+IF(Scenario_Select="Scenario 4",'I2 CBA Inputs'!R$108-'I2 CBA Inputs'!R111,0)),0)</f>
        <v>19076734.006854534</v>
      </c>
      <c r="T98" s="18">
        <f>IFERROR('I1 General Inputs'!$A17*(IF(Scenario_Select="Scenario 1",'I2 CBA Inputs'!S$81-'I2 CBA Inputs'!S84,0)+IF(Scenario_Select="Scenario 2",'I2 CBA Inputs'!S$90-'I2 CBA Inputs'!S93,0)+IF(Scenario_Select="Scenario 3",'I2 CBA Inputs'!S$99-'I2 CBA Inputs'!S102,0)+IF(Scenario_Select="Scenario 4",'I2 CBA Inputs'!S$108-'I2 CBA Inputs'!S111,0)),0)</f>
        <v>-8609099.2095021904</v>
      </c>
      <c r="U98" s="18">
        <f>IFERROR('I1 General Inputs'!$A17*(IF(Scenario_Select="Scenario 1",'I2 CBA Inputs'!T$81-'I2 CBA Inputs'!T84,0)+IF(Scenario_Select="Scenario 2",'I2 CBA Inputs'!T$90-'I2 CBA Inputs'!T93,0)+IF(Scenario_Select="Scenario 3",'I2 CBA Inputs'!T$99-'I2 CBA Inputs'!T102,0)+IF(Scenario_Select="Scenario 4",'I2 CBA Inputs'!T$108-'I2 CBA Inputs'!T111,0)),0)</f>
        <v>-5777187.1966528893</v>
      </c>
      <c r="V98" s="18">
        <f>IFERROR('I1 General Inputs'!$A17*(IF(Scenario_Select="Scenario 1",'I2 CBA Inputs'!U$81-'I2 CBA Inputs'!U84,0)+IF(Scenario_Select="Scenario 2",'I2 CBA Inputs'!U$90-'I2 CBA Inputs'!U93,0)+IF(Scenario_Select="Scenario 3",'I2 CBA Inputs'!U$99-'I2 CBA Inputs'!U102,0)+IF(Scenario_Select="Scenario 4",'I2 CBA Inputs'!U$108-'I2 CBA Inputs'!U111,0)),0)</f>
        <v>0</v>
      </c>
      <c r="W98" s="18">
        <f>IFERROR('I1 General Inputs'!$A17*(IF(Scenario_Select="Scenario 1",'I2 CBA Inputs'!V$81-'I2 CBA Inputs'!V84,0)+IF(Scenario_Select="Scenario 2",'I2 CBA Inputs'!V$90-'I2 CBA Inputs'!V93,0)+IF(Scenario_Select="Scenario 3",'I2 CBA Inputs'!V$99-'I2 CBA Inputs'!V102,0)+IF(Scenario_Select="Scenario 4",'I2 CBA Inputs'!V$108-'I2 CBA Inputs'!V111,0)),0)</f>
        <v>-1120983.016854763</v>
      </c>
      <c r="X98" s="18">
        <f>IFERROR('I1 General Inputs'!$A17*(IF(Scenario_Select="Scenario 1",'I2 CBA Inputs'!W$81-'I2 CBA Inputs'!W84,0)+IF(Scenario_Select="Scenario 2",'I2 CBA Inputs'!W$90-'I2 CBA Inputs'!W93,0)+IF(Scenario_Select="Scenario 3",'I2 CBA Inputs'!W$99-'I2 CBA Inputs'!W102,0)+IF(Scenario_Select="Scenario 4",'I2 CBA Inputs'!W$108-'I2 CBA Inputs'!W111,0)),0)</f>
        <v>-2095686.3807585826</v>
      </c>
      <c r="Y98" s="18">
        <f>IFERROR('I1 General Inputs'!$A17*(IF(Scenario_Select="Scenario 1",'I2 CBA Inputs'!X$81-'I2 CBA Inputs'!X84,0)+IF(Scenario_Select="Scenario 2",'I2 CBA Inputs'!X$90-'I2 CBA Inputs'!X93,0)+IF(Scenario_Select="Scenario 3",'I2 CBA Inputs'!X$99-'I2 CBA Inputs'!X102,0)+IF(Scenario_Select="Scenario 4",'I2 CBA Inputs'!X$108-'I2 CBA Inputs'!X111,0)),0)</f>
        <v>0.35809814902926973</v>
      </c>
      <c r="Z98" s="18">
        <f>IFERROR('I1 General Inputs'!$A17*(IF(Scenario_Select="Scenario 1",'I2 CBA Inputs'!Y$81-'I2 CBA Inputs'!Y84,0)+IF(Scenario_Select="Scenario 2",'I2 CBA Inputs'!Y$90-'I2 CBA Inputs'!Y93,0)+IF(Scenario_Select="Scenario 3",'I2 CBA Inputs'!Y$99-'I2 CBA Inputs'!Y102,0)+IF(Scenario_Select="Scenario 4",'I2 CBA Inputs'!Y$108-'I2 CBA Inputs'!Y111,0)),0)</f>
        <v>1.336985426070912</v>
      </c>
      <c r="AA98" s="18">
        <f>IFERROR('I1 General Inputs'!$A17*(IF(Scenario_Select="Scenario 1",'I2 CBA Inputs'!Z$81-'I2 CBA Inputs'!Z84,0)+IF(Scenario_Select="Scenario 2",'I2 CBA Inputs'!Z$90-'I2 CBA Inputs'!Z93,0)+IF(Scenario_Select="Scenario 3",'I2 CBA Inputs'!Z$99-'I2 CBA Inputs'!Z102,0)+IF(Scenario_Select="Scenario 4",'I2 CBA Inputs'!Z$108-'I2 CBA Inputs'!Z111,0)),0)</f>
        <v>668138.05206349492</v>
      </c>
      <c r="AB98" s="18">
        <f>IFERROR('I1 General Inputs'!$A17*(IF(Scenario_Select="Scenario 1",'I2 CBA Inputs'!AA$81-'I2 CBA Inputs'!AA84,0)+IF(Scenario_Select="Scenario 2",'I2 CBA Inputs'!AA$90-'I2 CBA Inputs'!AA93,0)+IF(Scenario_Select="Scenario 3",'I2 CBA Inputs'!AA$99-'I2 CBA Inputs'!AA102,0)+IF(Scenario_Select="Scenario 4",'I2 CBA Inputs'!AA$108-'I2 CBA Inputs'!AA111,0)),0)</f>
        <v>0.71382562526006543</v>
      </c>
      <c r="AC98" s="18">
        <f>IFERROR('I1 General Inputs'!$A17*(IF(Scenario_Select="Scenario 1",'I2 CBA Inputs'!AB$81-'I2 CBA Inputs'!AB84,0)+IF(Scenario_Select="Scenario 2",'I2 CBA Inputs'!AB$90-'I2 CBA Inputs'!AB93,0)+IF(Scenario_Select="Scenario 3",'I2 CBA Inputs'!AB$99-'I2 CBA Inputs'!AB102,0)+IF(Scenario_Select="Scenario 4",'I2 CBA Inputs'!AB$108-'I2 CBA Inputs'!AB111,0)),0)</f>
        <v>2.6931391452843707</v>
      </c>
      <c r="AD98" s="18">
        <f>IFERROR('I1 General Inputs'!$A17*(IF(Scenario_Select="Scenario 1",'I2 CBA Inputs'!AC$81-'I2 CBA Inputs'!AC84,0)+IF(Scenario_Select="Scenario 2",'I2 CBA Inputs'!AC$90-'I2 CBA Inputs'!AC93,0)+IF(Scenario_Select="Scenario 3",'I2 CBA Inputs'!AC$99-'I2 CBA Inputs'!AC102,0)+IF(Scenario_Select="Scenario 4",'I2 CBA Inputs'!AC$108-'I2 CBA Inputs'!AC111,0)),0)</f>
        <v>6592580.2389775664</v>
      </c>
      <c r="AE98" s="18">
        <f>IFERROR('I1 General Inputs'!$A17*(IF(Scenario_Select="Scenario 1",'I2 CBA Inputs'!AD$81-'I2 CBA Inputs'!AD84,0)+IF(Scenario_Select="Scenario 2",'I2 CBA Inputs'!AD$90-'I2 CBA Inputs'!AD93,0)+IF(Scenario_Select="Scenario 3",'I2 CBA Inputs'!AD$99-'I2 CBA Inputs'!AD102,0)+IF(Scenario_Select="Scenario 4",'I2 CBA Inputs'!AD$108-'I2 CBA Inputs'!AD111,0)),0)</f>
        <v>-13119150.289352953</v>
      </c>
      <c r="AF98" s="18">
        <f>'I1 General Inputs'!$A17*(IF(Scenario_Select="Scenario 1",'I2 CBA Inputs'!AE$81-'I2 CBA Inputs'!AE84,0)+IF(Scenario_Select="Scenario 2",'I2 CBA Inputs'!AE$90-'I2 CBA Inputs'!AE93,0)+IF(Scenario_Select="Scenario 3",'I2 CBA Inputs'!AE$99-'I2 CBA Inputs'!AE102,0)+IF(Scenario_Select="Scenario 4",'I2 CBA Inputs'!AE$108-'I2 CBA Inputs'!AE111,0))</f>
        <v>935038.3141577132</v>
      </c>
      <c r="AG98" s="18">
        <f>'I1 General Inputs'!$A17*(IF(Scenario_Select="Scenario 1",'I2 CBA Inputs'!AF$81-'I2 CBA Inputs'!AF84,0)+IF(Scenario_Select="Scenario 2",'I2 CBA Inputs'!AF$90-'I2 CBA Inputs'!AF93,0)+IF(Scenario_Select="Scenario 3",'I2 CBA Inputs'!AF$99-'I2 CBA Inputs'!AF102,0)+IF(Scenario_Select="Scenario 4",'I2 CBA Inputs'!AF$108-'I2 CBA Inputs'!AF111,0))</f>
        <v>0</v>
      </c>
      <c r="AH98" s="18">
        <f>'I1 General Inputs'!$A17*(IF(Scenario_Select="Scenario 1",'I2 CBA Inputs'!AG$81-'I2 CBA Inputs'!AG84,0)+IF(Scenario_Select="Scenario 2",'I2 CBA Inputs'!AG$90-'I2 CBA Inputs'!AG93,0)+IF(Scenario_Select="Scenario 3",'I2 CBA Inputs'!AG$99-'I2 CBA Inputs'!AG102,0)+IF(Scenario_Select="Scenario 4",'I2 CBA Inputs'!AG$108-'I2 CBA Inputs'!AG111,0))</f>
        <v>0</v>
      </c>
      <c r="AI98" s="18">
        <f>'I1 General Inputs'!$A17*(IF(Scenario_Select="Scenario 1",'I2 CBA Inputs'!AH$81-'I2 CBA Inputs'!AH84,0)+IF(Scenario_Select="Scenario 2",'I2 CBA Inputs'!AH$90-'I2 CBA Inputs'!AH93,0)+IF(Scenario_Select="Scenario 3",'I2 CBA Inputs'!AH$99-'I2 CBA Inputs'!AH102,0)+IF(Scenario_Select="Scenario 4",'I2 CBA Inputs'!AH$108-'I2 CBA Inputs'!AH111,0))</f>
        <v>0</v>
      </c>
      <c r="AJ98" s="18">
        <f>'I1 General Inputs'!$A17*(IF(Scenario_Select="Scenario 1",'I2 CBA Inputs'!AI$81-'I2 CBA Inputs'!AI84,0)+IF(Scenario_Select="Scenario 2",'I2 CBA Inputs'!AI$90-'I2 CBA Inputs'!AI93,0)+IF(Scenario_Select="Scenario 3",'I2 CBA Inputs'!AI$99-'I2 CBA Inputs'!AI102,0)+IF(Scenario_Select="Scenario 4",'I2 CBA Inputs'!AI$108-'I2 CBA Inputs'!AI111,0))</f>
        <v>0</v>
      </c>
    </row>
    <row r="99" spans="2:36" x14ac:dyDescent="0.2">
      <c r="B99" s="9">
        <f>+'I1 General Inputs'!$B$18</f>
        <v>4</v>
      </c>
      <c r="C99" s="15" t="str">
        <f>+'I1 General Inputs'!$C$18</f>
        <v>Option 1D</v>
      </c>
      <c r="D99" s="28"/>
      <c r="E99" s="13" t="s">
        <v>35</v>
      </c>
      <c r="F99" s="19">
        <f t="shared" si="27"/>
        <v>-962047.9847714192</v>
      </c>
      <c r="G99" s="18">
        <f>IFERROR('I1 General Inputs'!$A18*(IF(Scenario_Select="Scenario 1",'I2 CBA Inputs'!F$81-'I2 CBA Inputs'!F85,0)+IF(Scenario_Select="Scenario 2",'I2 CBA Inputs'!F$90-'I2 CBA Inputs'!F94,0)+IF(Scenario_Select="Scenario 3",'I2 CBA Inputs'!F$99-'I2 CBA Inputs'!F103,0)+IF(Scenario_Select="Scenario 4",'I2 CBA Inputs'!F$108-'I2 CBA Inputs'!F112,0)),0)</f>
        <v>0</v>
      </c>
      <c r="H99" s="18">
        <f>IFERROR('I1 General Inputs'!$A18*(IF(Scenario_Select="Scenario 1",'I2 CBA Inputs'!G$81-'I2 CBA Inputs'!G85,0)+IF(Scenario_Select="Scenario 2",'I2 CBA Inputs'!G$90-'I2 CBA Inputs'!G94,0)+IF(Scenario_Select="Scenario 3",'I2 CBA Inputs'!G$99-'I2 CBA Inputs'!G103,0)+IF(Scenario_Select="Scenario 4",'I2 CBA Inputs'!G$108-'I2 CBA Inputs'!G112,0)),0)</f>
        <v>9.613903499285124</v>
      </c>
      <c r="I99" s="18">
        <f>IFERROR('I1 General Inputs'!$A18*(IF(Scenario_Select="Scenario 1",'I2 CBA Inputs'!H$81-'I2 CBA Inputs'!H85,0)+IF(Scenario_Select="Scenario 2",'I2 CBA Inputs'!H$90-'I2 CBA Inputs'!H94,0)+IF(Scenario_Select="Scenario 3",'I2 CBA Inputs'!H$99-'I2 CBA Inputs'!H103,0)+IF(Scenario_Select="Scenario 4",'I2 CBA Inputs'!H$108-'I2 CBA Inputs'!H112,0)),0)</f>
        <v>0.88058022166511396</v>
      </c>
      <c r="J99" s="18">
        <f>IFERROR('I1 General Inputs'!$A18*(IF(Scenario_Select="Scenario 1",'I2 CBA Inputs'!I$81-'I2 CBA Inputs'!I85,0)+IF(Scenario_Select="Scenario 2",'I2 CBA Inputs'!I$90-'I2 CBA Inputs'!I94,0)+IF(Scenario_Select="Scenario 3",'I2 CBA Inputs'!I$99-'I2 CBA Inputs'!I103,0)+IF(Scenario_Select="Scenario 4",'I2 CBA Inputs'!I$108-'I2 CBA Inputs'!I112,0)),0)</f>
        <v>0.89169714838819936</v>
      </c>
      <c r="K99" s="18">
        <f>IFERROR('I1 General Inputs'!$A18*(IF(Scenario_Select="Scenario 1",'I2 CBA Inputs'!J$81-'I2 CBA Inputs'!J85,0)+IF(Scenario_Select="Scenario 2",'I2 CBA Inputs'!J$90-'I2 CBA Inputs'!J94,0)+IF(Scenario_Select="Scenario 3",'I2 CBA Inputs'!J$99-'I2 CBA Inputs'!J103,0)+IF(Scenario_Select="Scenario 4",'I2 CBA Inputs'!J$108-'I2 CBA Inputs'!J112,0)),0)</f>
        <v>1.812687814790539</v>
      </c>
      <c r="L99" s="18">
        <f>IFERROR('I1 General Inputs'!$A18*(IF(Scenario_Select="Scenario 1",'I2 CBA Inputs'!K$81-'I2 CBA Inputs'!K85,0)+IF(Scenario_Select="Scenario 2",'I2 CBA Inputs'!K$90-'I2 CBA Inputs'!K94,0)+IF(Scenario_Select="Scenario 3",'I2 CBA Inputs'!K$99-'I2 CBA Inputs'!K103,0)+IF(Scenario_Select="Scenario 4",'I2 CBA Inputs'!K$108-'I2 CBA Inputs'!K112,0)),0)</f>
        <v>1.2120930845760129</v>
      </c>
      <c r="M99" s="18">
        <f>IFERROR('I1 General Inputs'!$A18*(IF(Scenario_Select="Scenario 1",'I2 CBA Inputs'!L$81-'I2 CBA Inputs'!L85,0)+IF(Scenario_Select="Scenario 2",'I2 CBA Inputs'!L$90-'I2 CBA Inputs'!L94,0)+IF(Scenario_Select="Scenario 3",'I2 CBA Inputs'!L$99-'I2 CBA Inputs'!L103,0)+IF(Scenario_Select="Scenario 4",'I2 CBA Inputs'!L$108-'I2 CBA Inputs'!L112,0)),0)</f>
        <v>1.2759370769004057</v>
      </c>
      <c r="N99" s="18">
        <f>IFERROR('I1 General Inputs'!$A18*(IF(Scenario_Select="Scenario 1",'I2 CBA Inputs'!M$81-'I2 CBA Inputs'!M85,0)+IF(Scenario_Select="Scenario 2",'I2 CBA Inputs'!M$90-'I2 CBA Inputs'!M94,0)+IF(Scenario_Select="Scenario 3",'I2 CBA Inputs'!M$99-'I2 CBA Inputs'!M103,0)+IF(Scenario_Select="Scenario 4",'I2 CBA Inputs'!M$108-'I2 CBA Inputs'!M112,0)),0)</f>
        <v>1.3123090064917839</v>
      </c>
      <c r="O99" s="18">
        <f>IFERROR('I1 General Inputs'!$A18*(IF(Scenario_Select="Scenario 1",'I2 CBA Inputs'!N$81-'I2 CBA Inputs'!N85,0)+IF(Scenario_Select="Scenario 2",'I2 CBA Inputs'!N$90-'I2 CBA Inputs'!N94,0)+IF(Scenario_Select="Scenario 3",'I2 CBA Inputs'!N$99-'I2 CBA Inputs'!N103,0)+IF(Scenario_Select="Scenario 4",'I2 CBA Inputs'!N$108-'I2 CBA Inputs'!N112,0)),0)</f>
        <v>2.2015274943229164</v>
      </c>
      <c r="P99" s="18">
        <f>IFERROR('I1 General Inputs'!$A18*(IF(Scenario_Select="Scenario 1",'I2 CBA Inputs'!O$81-'I2 CBA Inputs'!O85,0)+IF(Scenario_Select="Scenario 2",'I2 CBA Inputs'!O$90-'I2 CBA Inputs'!O94,0)+IF(Scenario_Select="Scenario 3",'I2 CBA Inputs'!O$99-'I2 CBA Inputs'!O103,0)+IF(Scenario_Select="Scenario 4",'I2 CBA Inputs'!O$108-'I2 CBA Inputs'!O112,0)),0)</f>
        <v>-3216324.3846316934</v>
      </c>
      <c r="Q99" s="18">
        <f>IFERROR('I1 General Inputs'!$A18*(IF(Scenario_Select="Scenario 1",'I2 CBA Inputs'!P$81-'I2 CBA Inputs'!P85,0)+IF(Scenario_Select="Scenario 2",'I2 CBA Inputs'!P$90-'I2 CBA Inputs'!P94,0)+IF(Scenario_Select="Scenario 3",'I2 CBA Inputs'!P$99-'I2 CBA Inputs'!P103,0)+IF(Scenario_Select="Scenario 4",'I2 CBA Inputs'!P$108-'I2 CBA Inputs'!P112,0)),0)</f>
        <v>4.3073093497891684</v>
      </c>
      <c r="R99" s="18">
        <f>IFERROR('I1 General Inputs'!$A18*(IF(Scenario_Select="Scenario 1",'I2 CBA Inputs'!Q$81-'I2 CBA Inputs'!Q85,0)+IF(Scenario_Select="Scenario 2",'I2 CBA Inputs'!Q$90-'I2 CBA Inputs'!Q94,0)+IF(Scenario_Select="Scenario 3",'I2 CBA Inputs'!Q$99-'I2 CBA Inputs'!Q103,0)+IF(Scenario_Select="Scenario 4",'I2 CBA Inputs'!Q$108-'I2 CBA Inputs'!Q112,0)),0)</f>
        <v>0.43889354612704784</v>
      </c>
      <c r="S99" s="18">
        <f>IFERROR('I1 General Inputs'!$A18*(IF(Scenario_Select="Scenario 1",'I2 CBA Inputs'!R$81-'I2 CBA Inputs'!R85,0)+IF(Scenario_Select="Scenario 2",'I2 CBA Inputs'!R$90-'I2 CBA Inputs'!R94,0)+IF(Scenario_Select="Scenario 3",'I2 CBA Inputs'!R$99-'I2 CBA Inputs'!R103,0)+IF(Scenario_Select="Scenario 4",'I2 CBA Inputs'!R$108-'I2 CBA Inputs'!R112,0)),0)</f>
        <v>11019660.149137735</v>
      </c>
      <c r="T99" s="18">
        <f>IFERROR('I1 General Inputs'!$A18*(IF(Scenario_Select="Scenario 1",'I2 CBA Inputs'!S$81-'I2 CBA Inputs'!S85,0)+IF(Scenario_Select="Scenario 2",'I2 CBA Inputs'!S$90-'I2 CBA Inputs'!S94,0)+IF(Scenario_Select="Scenario 3",'I2 CBA Inputs'!S$99-'I2 CBA Inputs'!S103,0)+IF(Scenario_Select="Scenario 4",'I2 CBA Inputs'!S$108-'I2 CBA Inputs'!S112,0)),0)</f>
        <v>2440843.492126137</v>
      </c>
      <c r="U99" s="18">
        <f>IFERROR('I1 General Inputs'!$A18*(IF(Scenario_Select="Scenario 1",'I2 CBA Inputs'!T$81-'I2 CBA Inputs'!T85,0)+IF(Scenario_Select="Scenario 2",'I2 CBA Inputs'!T$90-'I2 CBA Inputs'!T94,0)+IF(Scenario_Select="Scenario 3",'I2 CBA Inputs'!T$99-'I2 CBA Inputs'!T103,0)+IF(Scenario_Select="Scenario 4",'I2 CBA Inputs'!T$108-'I2 CBA Inputs'!T112,0)),0)</f>
        <v>-1270334.9676341116</v>
      </c>
      <c r="V99" s="18">
        <f>IFERROR('I1 General Inputs'!$A18*(IF(Scenario_Select="Scenario 1",'I2 CBA Inputs'!U$81-'I2 CBA Inputs'!U85,0)+IF(Scenario_Select="Scenario 2",'I2 CBA Inputs'!U$90-'I2 CBA Inputs'!U94,0)+IF(Scenario_Select="Scenario 3",'I2 CBA Inputs'!U$99-'I2 CBA Inputs'!U103,0)+IF(Scenario_Select="Scenario 4",'I2 CBA Inputs'!U$108-'I2 CBA Inputs'!U112,0)),0)</f>
        <v>0</v>
      </c>
      <c r="W99" s="18">
        <f>IFERROR('I1 General Inputs'!$A18*(IF(Scenario_Select="Scenario 1",'I2 CBA Inputs'!V$81-'I2 CBA Inputs'!V85,0)+IF(Scenario_Select="Scenario 2",'I2 CBA Inputs'!V$90-'I2 CBA Inputs'!V94,0)+IF(Scenario_Select="Scenario 3",'I2 CBA Inputs'!V$99-'I2 CBA Inputs'!V103,0)+IF(Scenario_Select="Scenario 4",'I2 CBA Inputs'!V$108-'I2 CBA Inputs'!V112,0)),0)</f>
        <v>-7120371.300381422</v>
      </c>
      <c r="X99" s="18">
        <f>IFERROR('I1 General Inputs'!$A18*(IF(Scenario_Select="Scenario 1",'I2 CBA Inputs'!W$81-'I2 CBA Inputs'!W85,0)+IF(Scenario_Select="Scenario 2",'I2 CBA Inputs'!W$90-'I2 CBA Inputs'!W94,0)+IF(Scenario_Select="Scenario 3",'I2 CBA Inputs'!W$99-'I2 CBA Inputs'!W103,0)+IF(Scenario_Select="Scenario 4",'I2 CBA Inputs'!W$108-'I2 CBA Inputs'!W112,0)),0)</f>
        <v>-1777286.238605096</v>
      </c>
      <c r="Y99" s="18">
        <f>IFERROR('I1 General Inputs'!$A18*(IF(Scenario_Select="Scenario 1",'I2 CBA Inputs'!X$81-'I2 CBA Inputs'!X85,0)+IF(Scenario_Select="Scenario 2",'I2 CBA Inputs'!X$90-'I2 CBA Inputs'!X94,0)+IF(Scenario_Select="Scenario 3",'I2 CBA Inputs'!X$99-'I2 CBA Inputs'!X103,0)+IF(Scenario_Select="Scenario 4",'I2 CBA Inputs'!X$108-'I2 CBA Inputs'!X112,0)),0)</f>
        <v>0.41574169475805689</v>
      </c>
      <c r="Z99" s="18">
        <f>IFERROR('I1 General Inputs'!$A18*(IF(Scenario_Select="Scenario 1",'I2 CBA Inputs'!Y$81-'I2 CBA Inputs'!Y85,0)+IF(Scenario_Select="Scenario 2",'I2 CBA Inputs'!Y$90-'I2 CBA Inputs'!Y94,0)+IF(Scenario_Select="Scenario 3",'I2 CBA Inputs'!Y$99-'I2 CBA Inputs'!Y103,0)+IF(Scenario_Select="Scenario 4",'I2 CBA Inputs'!Y$108-'I2 CBA Inputs'!Y112,0)),0)</f>
        <v>1.5645789056277508</v>
      </c>
      <c r="AA99" s="18">
        <f>IFERROR('I1 General Inputs'!$A18*(IF(Scenario_Select="Scenario 1",'I2 CBA Inputs'!Z$81-'I2 CBA Inputs'!Z85,0)+IF(Scenario_Select="Scenario 2",'I2 CBA Inputs'!Z$90-'I2 CBA Inputs'!Z94,0)+IF(Scenario_Select="Scenario 3",'I2 CBA Inputs'!Z$99-'I2 CBA Inputs'!Z103,0)+IF(Scenario_Select="Scenario 4",'I2 CBA Inputs'!Z$108-'I2 CBA Inputs'!Z112,0)),0)</f>
        <v>1578346.3965672553</v>
      </c>
      <c r="AB99" s="18">
        <f>IFERROR('I1 General Inputs'!$A18*(IF(Scenario_Select="Scenario 1",'I2 CBA Inputs'!AA$81-'I2 CBA Inputs'!AA85,0)+IF(Scenario_Select="Scenario 2",'I2 CBA Inputs'!AA$90-'I2 CBA Inputs'!AA94,0)+IF(Scenario_Select="Scenario 3",'I2 CBA Inputs'!AA$99-'I2 CBA Inputs'!AA103,0)+IF(Scenario_Select="Scenario 4",'I2 CBA Inputs'!AA$108-'I2 CBA Inputs'!AA112,0)),0)</f>
        <v>0.86233547757731188</v>
      </c>
      <c r="AC99" s="18">
        <f>IFERROR('I1 General Inputs'!$A18*(IF(Scenario_Select="Scenario 1",'I2 CBA Inputs'!AB$81-'I2 CBA Inputs'!AB85,0)+IF(Scenario_Select="Scenario 2",'I2 CBA Inputs'!AB$90-'I2 CBA Inputs'!AB94,0)+IF(Scenario_Select="Scenario 3",'I2 CBA Inputs'!AB$99-'I2 CBA Inputs'!AB103,0)+IF(Scenario_Select="Scenario 4",'I2 CBA Inputs'!AB$108-'I2 CBA Inputs'!AB112,0)),0)</f>
        <v>3.6776464872130425</v>
      </c>
      <c r="AD99" s="18">
        <f>IFERROR('I1 General Inputs'!$A18*(IF(Scenario_Select="Scenario 1",'I2 CBA Inputs'!AC$81-'I2 CBA Inputs'!AC85,0)+IF(Scenario_Select="Scenario 2",'I2 CBA Inputs'!AC$90-'I2 CBA Inputs'!AC94,0)+IF(Scenario_Select="Scenario 3",'I2 CBA Inputs'!AC$99-'I2 CBA Inputs'!AC103,0)+IF(Scenario_Select="Scenario 4",'I2 CBA Inputs'!AC$108-'I2 CBA Inputs'!AC112,0)),0)</f>
        <v>-874899.37605896592</v>
      </c>
      <c r="AE99" s="18">
        <f>IFERROR('I1 General Inputs'!$A18*(IF(Scenario_Select="Scenario 1",'I2 CBA Inputs'!AD$81-'I2 CBA Inputs'!AD85,0)+IF(Scenario_Select="Scenario 2",'I2 CBA Inputs'!AD$90-'I2 CBA Inputs'!AD94,0)+IF(Scenario_Select="Scenario 3",'I2 CBA Inputs'!AD$99-'I2 CBA Inputs'!AD103,0)+IF(Scenario_Select="Scenario 4",'I2 CBA Inputs'!AD$108-'I2 CBA Inputs'!AD112,0)),0)</f>
        <v>-8153406.1462882161</v>
      </c>
      <c r="AF99" s="18">
        <f>'I1 General Inputs'!$A18*(IF(Scenario_Select="Scenario 1",'I2 CBA Inputs'!AE$81-'I2 CBA Inputs'!AE85,0)+IF(Scenario_Select="Scenario 2",'I2 CBA Inputs'!AE$90-'I2 CBA Inputs'!AE94,0)+IF(Scenario_Select="Scenario 3",'I2 CBA Inputs'!AE$99-'I2 CBA Inputs'!AE103,0)+IF(Scenario_Select="Scenario 4",'I2 CBA Inputs'!AE$108-'I2 CBA Inputs'!AE112,0))</f>
        <v>581041.22030970827</v>
      </c>
      <c r="AG99" s="18">
        <f>'I1 General Inputs'!$A18*(IF(Scenario_Select="Scenario 1",'I2 CBA Inputs'!AF$81-'I2 CBA Inputs'!AF85,0)+IF(Scenario_Select="Scenario 2",'I2 CBA Inputs'!AF$90-'I2 CBA Inputs'!AF94,0)+IF(Scenario_Select="Scenario 3",'I2 CBA Inputs'!AF$99-'I2 CBA Inputs'!AF103,0)+IF(Scenario_Select="Scenario 4",'I2 CBA Inputs'!AF$108-'I2 CBA Inputs'!AF112,0))</f>
        <v>0</v>
      </c>
      <c r="AH99" s="18">
        <f>'I1 General Inputs'!$A18*(IF(Scenario_Select="Scenario 1",'I2 CBA Inputs'!AG$81-'I2 CBA Inputs'!AG85,0)+IF(Scenario_Select="Scenario 2",'I2 CBA Inputs'!AG$90-'I2 CBA Inputs'!AG94,0)+IF(Scenario_Select="Scenario 3",'I2 CBA Inputs'!AG$99-'I2 CBA Inputs'!AG103,0)+IF(Scenario_Select="Scenario 4",'I2 CBA Inputs'!AG$108-'I2 CBA Inputs'!AG112,0))</f>
        <v>0</v>
      </c>
      <c r="AI99" s="18">
        <f>'I1 General Inputs'!$A18*(IF(Scenario_Select="Scenario 1",'I2 CBA Inputs'!AH$81-'I2 CBA Inputs'!AH85,0)+IF(Scenario_Select="Scenario 2",'I2 CBA Inputs'!AH$90-'I2 CBA Inputs'!AH94,0)+IF(Scenario_Select="Scenario 3",'I2 CBA Inputs'!AH$99-'I2 CBA Inputs'!AH103,0)+IF(Scenario_Select="Scenario 4",'I2 CBA Inputs'!AH$108-'I2 CBA Inputs'!AH112,0))</f>
        <v>0</v>
      </c>
      <c r="AJ99" s="18">
        <f>'I1 General Inputs'!$A18*(IF(Scenario_Select="Scenario 1",'I2 CBA Inputs'!AI$81-'I2 CBA Inputs'!AI85,0)+IF(Scenario_Select="Scenario 2",'I2 CBA Inputs'!AI$90-'I2 CBA Inputs'!AI94,0)+IF(Scenario_Select="Scenario 3",'I2 CBA Inputs'!AI$99-'I2 CBA Inputs'!AI103,0)+IF(Scenario_Select="Scenario 4",'I2 CBA Inputs'!AI$108-'I2 CBA Inputs'!AI112,0))</f>
        <v>0</v>
      </c>
    </row>
    <row r="100" spans="2:36" x14ac:dyDescent="0.2">
      <c r="B100" s="9">
        <f>+'I1 General Inputs'!$B$19</f>
        <v>5</v>
      </c>
      <c r="C100" s="15" t="str">
        <f>+'I1 General Inputs'!$C$19</f>
        <v>Option 5A</v>
      </c>
      <c r="D100" s="28"/>
      <c r="E100" s="13" t="s">
        <v>35</v>
      </c>
      <c r="F100" s="19">
        <f t="shared" si="27"/>
        <v>0</v>
      </c>
      <c r="G100" s="18">
        <f>IFERROR('I1 General Inputs'!$A19*(IF(Scenario_Select="Scenario 1",'I2 CBA Inputs'!F$81-'I2 CBA Inputs'!F86,0)+IF(Scenario_Select="Scenario 2",'I2 CBA Inputs'!F$90-'I2 CBA Inputs'!F95,0)+IF(Scenario_Select="Scenario 3",'I2 CBA Inputs'!F$99-'I2 CBA Inputs'!F104,0)+IF(Scenario_Select="Scenario 4",'I2 CBA Inputs'!F$108-'I2 CBA Inputs'!F113,0)),0)</f>
        <v>0</v>
      </c>
      <c r="H100" s="18">
        <f>IFERROR('I1 General Inputs'!$A19*(IF(Scenario_Select="Scenario 1",'I2 CBA Inputs'!G$81-'I2 CBA Inputs'!G86,0)+IF(Scenario_Select="Scenario 2",'I2 CBA Inputs'!G$90-'I2 CBA Inputs'!G95,0)+IF(Scenario_Select="Scenario 3",'I2 CBA Inputs'!G$99-'I2 CBA Inputs'!G104,0)+IF(Scenario_Select="Scenario 4",'I2 CBA Inputs'!G$108-'I2 CBA Inputs'!G113,0)),0)</f>
        <v>0</v>
      </c>
      <c r="I100" s="18">
        <f>IFERROR('I1 General Inputs'!$A19*(IF(Scenario_Select="Scenario 1",'I2 CBA Inputs'!H$81-'I2 CBA Inputs'!H86,0)+IF(Scenario_Select="Scenario 2",'I2 CBA Inputs'!H$90-'I2 CBA Inputs'!H95,0)+IF(Scenario_Select="Scenario 3",'I2 CBA Inputs'!H$99-'I2 CBA Inputs'!H104,0)+IF(Scenario_Select="Scenario 4",'I2 CBA Inputs'!H$108-'I2 CBA Inputs'!H113,0)),0)</f>
        <v>0</v>
      </c>
      <c r="J100" s="18">
        <f>IFERROR('I1 General Inputs'!$A19*(IF(Scenario_Select="Scenario 1",'I2 CBA Inputs'!I$81-'I2 CBA Inputs'!I86,0)+IF(Scenario_Select="Scenario 2",'I2 CBA Inputs'!I$90-'I2 CBA Inputs'!I95,0)+IF(Scenario_Select="Scenario 3",'I2 CBA Inputs'!I$99-'I2 CBA Inputs'!I104,0)+IF(Scenario_Select="Scenario 4",'I2 CBA Inputs'!I$108-'I2 CBA Inputs'!I113,0)),0)</f>
        <v>0</v>
      </c>
      <c r="K100" s="18">
        <f>IFERROR('I1 General Inputs'!$A19*(IF(Scenario_Select="Scenario 1",'I2 CBA Inputs'!J$81-'I2 CBA Inputs'!J86,0)+IF(Scenario_Select="Scenario 2",'I2 CBA Inputs'!J$90-'I2 CBA Inputs'!J95,0)+IF(Scenario_Select="Scenario 3",'I2 CBA Inputs'!J$99-'I2 CBA Inputs'!J104,0)+IF(Scenario_Select="Scenario 4",'I2 CBA Inputs'!J$108-'I2 CBA Inputs'!J113,0)),0)</f>
        <v>0</v>
      </c>
      <c r="L100" s="18">
        <f>IFERROR('I1 General Inputs'!$A19*(IF(Scenario_Select="Scenario 1",'I2 CBA Inputs'!K$81-'I2 CBA Inputs'!K86,0)+IF(Scenario_Select="Scenario 2",'I2 CBA Inputs'!K$90-'I2 CBA Inputs'!K95,0)+IF(Scenario_Select="Scenario 3",'I2 CBA Inputs'!K$99-'I2 CBA Inputs'!K104,0)+IF(Scenario_Select="Scenario 4",'I2 CBA Inputs'!K$108-'I2 CBA Inputs'!K113,0)),0)</f>
        <v>0</v>
      </c>
      <c r="M100" s="18">
        <f>IFERROR('I1 General Inputs'!$A19*(IF(Scenario_Select="Scenario 1",'I2 CBA Inputs'!L$81-'I2 CBA Inputs'!L86,0)+IF(Scenario_Select="Scenario 2",'I2 CBA Inputs'!L$90-'I2 CBA Inputs'!L95,0)+IF(Scenario_Select="Scenario 3",'I2 CBA Inputs'!L$99-'I2 CBA Inputs'!L104,0)+IF(Scenario_Select="Scenario 4",'I2 CBA Inputs'!L$108-'I2 CBA Inputs'!L113,0)),0)</f>
        <v>0</v>
      </c>
      <c r="N100" s="18">
        <f>IFERROR('I1 General Inputs'!$A19*(IF(Scenario_Select="Scenario 1",'I2 CBA Inputs'!M$81-'I2 CBA Inputs'!M86,0)+IF(Scenario_Select="Scenario 2",'I2 CBA Inputs'!M$90-'I2 CBA Inputs'!M95,0)+IF(Scenario_Select="Scenario 3",'I2 CBA Inputs'!M$99-'I2 CBA Inputs'!M104,0)+IF(Scenario_Select="Scenario 4",'I2 CBA Inputs'!M$108-'I2 CBA Inputs'!M113,0)),0)</f>
        <v>0</v>
      </c>
      <c r="O100" s="18">
        <f>IFERROR('I1 General Inputs'!$A19*(IF(Scenario_Select="Scenario 1",'I2 CBA Inputs'!N$81-'I2 CBA Inputs'!N86,0)+IF(Scenario_Select="Scenario 2",'I2 CBA Inputs'!N$90-'I2 CBA Inputs'!N95,0)+IF(Scenario_Select="Scenario 3",'I2 CBA Inputs'!N$99-'I2 CBA Inputs'!N104,0)+IF(Scenario_Select="Scenario 4",'I2 CBA Inputs'!N$108-'I2 CBA Inputs'!N113,0)),0)</f>
        <v>0</v>
      </c>
      <c r="P100" s="18">
        <f>IFERROR('I1 General Inputs'!$A19*(IF(Scenario_Select="Scenario 1",'I2 CBA Inputs'!O$81-'I2 CBA Inputs'!O86,0)+IF(Scenario_Select="Scenario 2",'I2 CBA Inputs'!O$90-'I2 CBA Inputs'!O95,0)+IF(Scenario_Select="Scenario 3",'I2 CBA Inputs'!O$99-'I2 CBA Inputs'!O104,0)+IF(Scenario_Select="Scenario 4",'I2 CBA Inputs'!O$108-'I2 CBA Inputs'!O113,0)),0)</f>
        <v>0</v>
      </c>
      <c r="Q100" s="18">
        <f>IFERROR('I1 General Inputs'!$A19*(IF(Scenario_Select="Scenario 1",'I2 CBA Inputs'!P$81-'I2 CBA Inputs'!P86,0)+IF(Scenario_Select="Scenario 2",'I2 CBA Inputs'!P$90-'I2 CBA Inputs'!P95,0)+IF(Scenario_Select="Scenario 3",'I2 CBA Inputs'!P$99-'I2 CBA Inputs'!P104,0)+IF(Scenario_Select="Scenario 4",'I2 CBA Inputs'!P$108-'I2 CBA Inputs'!P113,0)),0)</f>
        <v>0</v>
      </c>
      <c r="R100" s="18">
        <f>IFERROR('I1 General Inputs'!$A19*(IF(Scenario_Select="Scenario 1",'I2 CBA Inputs'!Q$81-'I2 CBA Inputs'!Q86,0)+IF(Scenario_Select="Scenario 2",'I2 CBA Inputs'!Q$90-'I2 CBA Inputs'!Q95,0)+IF(Scenario_Select="Scenario 3",'I2 CBA Inputs'!Q$99-'I2 CBA Inputs'!Q104,0)+IF(Scenario_Select="Scenario 4",'I2 CBA Inputs'!Q$108-'I2 CBA Inputs'!Q113,0)),0)</f>
        <v>0</v>
      </c>
      <c r="S100" s="18">
        <f>IFERROR('I1 General Inputs'!$A19*(IF(Scenario_Select="Scenario 1",'I2 CBA Inputs'!R$81-'I2 CBA Inputs'!R86,0)+IF(Scenario_Select="Scenario 2",'I2 CBA Inputs'!R$90-'I2 CBA Inputs'!R95,0)+IF(Scenario_Select="Scenario 3",'I2 CBA Inputs'!R$99-'I2 CBA Inputs'!R104,0)+IF(Scenario_Select="Scenario 4",'I2 CBA Inputs'!R$108-'I2 CBA Inputs'!R113,0)),0)</f>
        <v>0</v>
      </c>
      <c r="T100" s="18">
        <f>IFERROR('I1 General Inputs'!$A19*(IF(Scenario_Select="Scenario 1",'I2 CBA Inputs'!S$81-'I2 CBA Inputs'!S86,0)+IF(Scenario_Select="Scenario 2",'I2 CBA Inputs'!S$90-'I2 CBA Inputs'!S95,0)+IF(Scenario_Select="Scenario 3",'I2 CBA Inputs'!S$99-'I2 CBA Inputs'!S104,0)+IF(Scenario_Select="Scenario 4",'I2 CBA Inputs'!S$108-'I2 CBA Inputs'!S113,0)),0)</f>
        <v>0</v>
      </c>
      <c r="U100" s="18">
        <f>IFERROR('I1 General Inputs'!$A19*(IF(Scenario_Select="Scenario 1",'I2 CBA Inputs'!T$81-'I2 CBA Inputs'!T86,0)+IF(Scenario_Select="Scenario 2",'I2 CBA Inputs'!T$90-'I2 CBA Inputs'!T95,0)+IF(Scenario_Select="Scenario 3",'I2 CBA Inputs'!T$99-'I2 CBA Inputs'!T104,0)+IF(Scenario_Select="Scenario 4",'I2 CBA Inputs'!T$108-'I2 CBA Inputs'!T113,0)),0)</f>
        <v>0</v>
      </c>
      <c r="V100" s="18">
        <f>IFERROR('I1 General Inputs'!$A19*(IF(Scenario_Select="Scenario 1",'I2 CBA Inputs'!U$81-'I2 CBA Inputs'!U86,0)+IF(Scenario_Select="Scenario 2",'I2 CBA Inputs'!U$90-'I2 CBA Inputs'!U95,0)+IF(Scenario_Select="Scenario 3",'I2 CBA Inputs'!U$99-'I2 CBA Inputs'!U104,0)+IF(Scenario_Select="Scenario 4",'I2 CBA Inputs'!U$108-'I2 CBA Inputs'!U113,0)),0)</f>
        <v>0</v>
      </c>
      <c r="W100" s="18">
        <f>IFERROR('I1 General Inputs'!$A19*(IF(Scenario_Select="Scenario 1",'I2 CBA Inputs'!V$81-'I2 CBA Inputs'!V86,0)+IF(Scenario_Select="Scenario 2",'I2 CBA Inputs'!V$90-'I2 CBA Inputs'!V95,0)+IF(Scenario_Select="Scenario 3",'I2 CBA Inputs'!V$99-'I2 CBA Inputs'!V104,0)+IF(Scenario_Select="Scenario 4",'I2 CBA Inputs'!V$108-'I2 CBA Inputs'!V113,0)),0)</f>
        <v>0</v>
      </c>
      <c r="X100" s="18">
        <f>IFERROR('I1 General Inputs'!$A19*(IF(Scenario_Select="Scenario 1",'I2 CBA Inputs'!W$81-'I2 CBA Inputs'!W86,0)+IF(Scenario_Select="Scenario 2",'I2 CBA Inputs'!W$90-'I2 CBA Inputs'!W95,0)+IF(Scenario_Select="Scenario 3",'I2 CBA Inputs'!W$99-'I2 CBA Inputs'!W104,0)+IF(Scenario_Select="Scenario 4",'I2 CBA Inputs'!W$108-'I2 CBA Inputs'!W113,0)),0)</f>
        <v>0</v>
      </c>
      <c r="Y100" s="18">
        <f>IFERROR('I1 General Inputs'!$A19*(IF(Scenario_Select="Scenario 1",'I2 CBA Inputs'!X$81-'I2 CBA Inputs'!X86,0)+IF(Scenario_Select="Scenario 2",'I2 CBA Inputs'!X$90-'I2 CBA Inputs'!X95,0)+IF(Scenario_Select="Scenario 3",'I2 CBA Inputs'!X$99-'I2 CBA Inputs'!X104,0)+IF(Scenario_Select="Scenario 4",'I2 CBA Inputs'!X$108-'I2 CBA Inputs'!X113,0)),0)</f>
        <v>0</v>
      </c>
      <c r="Z100" s="18">
        <f>IFERROR('I1 General Inputs'!$A19*(IF(Scenario_Select="Scenario 1",'I2 CBA Inputs'!Y$81-'I2 CBA Inputs'!Y86,0)+IF(Scenario_Select="Scenario 2",'I2 CBA Inputs'!Y$90-'I2 CBA Inputs'!Y95,0)+IF(Scenario_Select="Scenario 3",'I2 CBA Inputs'!Y$99-'I2 CBA Inputs'!Y104,0)+IF(Scenario_Select="Scenario 4",'I2 CBA Inputs'!Y$108-'I2 CBA Inputs'!Y113,0)),0)</f>
        <v>0</v>
      </c>
      <c r="AA100" s="18">
        <f>IFERROR('I1 General Inputs'!$A19*(IF(Scenario_Select="Scenario 1",'I2 CBA Inputs'!Z$81-'I2 CBA Inputs'!Z86,0)+IF(Scenario_Select="Scenario 2",'I2 CBA Inputs'!Z$90-'I2 CBA Inputs'!Z95,0)+IF(Scenario_Select="Scenario 3",'I2 CBA Inputs'!Z$99-'I2 CBA Inputs'!Z104,0)+IF(Scenario_Select="Scenario 4",'I2 CBA Inputs'!Z$108-'I2 CBA Inputs'!Z113,0)),0)</f>
        <v>0</v>
      </c>
      <c r="AB100" s="18">
        <f>IFERROR('I1 General Inputs'!$A19*(IF(Scenario_Select="Scenario 1",'I2 CBA Inputs'!AA$81-'I2 CBA Inputs'!AA86,0)+IF(Scenario_Select="Scenario 2",'I2 CBA Inputs'!AA$90-'I2 CBA Inputs'!AA95,0)+IF(Scenario_Select="Scenario 3",'I2 CBA Inputs'!AA$99-'I2 CBA Inputs'!AA104,0)+IF(Scenario_Select="Scenario 4",'I2 CBA Inputs'!AA$108-'I2 CBA Inputs'!AA113,0)),0)</f>
        <v>0</v>
      </c>
      <c r="AC100" s="18">
        <f>IFERROR('I1 General Inputs'!$A19*(IF(Scenario_Select="Scenario 1",'I2 CBA Inputs'!AB$81-'I2 CBA Inputs'!AB86,0)+IF(Scenario_Select="Scenario 2",'I2 CBA Inputs'!AB$90-'I2 CBA Inputs'!AB95,0)+IF(Scenario_Select="Scenario 3",'I2 CBA Inputs'!AB$99-'I2 CBA Inputs'!AB104,0)+IF(Scenario_Select="Scenario 4",'I2 CBA Inputs'!AB$108-'I2 CBA Inputs'!AB113,0)),0)</f>
        <v>0</v>
      </c>
      <c r="AD100" s="18">
        <f>IFERROR('I1 General Inputs'!$A19*(IF(Scenario_Select="Scenario 1",'I2 CBA Inputs'!AC$81-'I2 CBA Inputs'!AC86,0)+IF(Scenario_Select="Scenario 2",'I2 CBA Inputs'!AC$90-'I2 CBA Inputs'!AC95,0)+IF(Scenario_Select="Scenario 3",'I2 CBA Inputs'!AC$99-'I2 CBA Inputs'!AC104,0)+IF(Scenario_Select="Scenario 4",'I2 CBA Inputs'!AC$108-'I2 CBA Inputs'!AC113,0)),0)</f>
        <v>0</v>
      </c>
      <c r="AE100" s="18">
        <f>IFERROR('I1 General Inputs'!$A19*(IF(Scenario_Select="Scenario 1",'I2 CBA Inputs'!AD$81-'I2 CBA Inputs'!AD86,0)+IF(Scenario_Select="Scenario 2",'I2 CBA Inputs'!AD$90-'I2 CBA Inputs'!AD95,0)+IF(Scenario_Select="Scenario 3",'I2 CBA Inputs'!AD$99-'I2 CBA Inputs'!AD104,0)+IF(Scenario_Select="Scenario 4",'I2 CBA Inputs'!AD$108-'I2 CBA Inputs'!AD113,0)),0)</f>
        <v>0</v>
      </c>
      <c r="AF100" s="18">
        <f>'I1 General Inputs'!$A19*(IF(Scenario_Select="Scenario 1",'I2 CBA Inputs'!AE$81-'I2 CBA Inputs'!AE86,0)+IF(Scenario_Select="Scenario 2",'I2 CBA Inputs'!AE$90-'I2 CBA Inputs'!AE95,0)+IF(Scenario_Select="Scenario 3",'I2 CBA Inputs'!AE$99-'I2 CBA Inputs'!AE104,0)+IF(Scenario_Select="Scenario 4",'I2 CBA Inputs'!AE$108-'I2 CBA Inputs'!AE113,0))</f>
        <v>0</v>
      </c>
      <c r="AG100" s="18">
        <f>'I1 General Inputs'!$A19*(IF(Scenario_Select="Scenario 1",'I2 CBA Inputs'!AF$81-'I2 CBA Inputs'!AF86,0)+IF(Scenario_Select="Scenario 2",'I2 CBA Inputs'!AF$90-'I2 CBA Inputs'!AF95,0)+IF(Scenario_Select="Scenario 3",'I2 CBA Inputs'!AF$99-'I2 CBA Inputs'!AF104,0)+IF(Scenario_Select="Scenario 4",'I2 CBA Inputs'!AF$108-'I2 CBA Inputs'!AF113,0))</f>
        <v>0</v>
      </c>
      <c r="AH100" s="18">
        <f>'I1 General Inputs'!$A19*(IF(Scenario_Select="Scenario 1",'I2 CBA Inputs'!AG$81-'I2 CBA Inputs'!AG86,0)+IF(Scenario_Select="Scenario 2",'I2 CBA Inputs'!AG$90-'I2 CBA Inputs'!AG95,0)+IF(Scenario_Select="Scenario 3",'I2 CBA Inputs'!AG$99-'I2 CBA Inputs'!AG104,0)+IF(Scenario_Select="Scenario 4",'I2 CBA Inputs'!AG$108-'I2 CBA Inputs'!AG113,0))</f>
        <v>0</v>
      </c>
      <c r="AI100" s="18">
        <f>'I1 General Inputs'!$A19*(IF(Scenario_Select="Scenario 1",'I2 CBA Inputs'!AH$81-'I2 CBA Inputs'!AH86,0)+IF(Scenario_Select="Scenario 2",'I2 CBA Inputs'!AH$90-'I2 CBA Inputs'!AH95,0)+IF(Scenario_Select="Scenario 3",'I2 CBA Inputs'!AH$99-'I2 CBA Inputs'!AH104,0)+IF(Scenario_Select="Scenario 4",'I2 CBA Inputs'!AH$108-'I2 CBA Inputs'!AH113,0))</f>
        <v>0</v>
      </c>
      <c r="AJ100" s="18">
        <f>'I1 General Inputs'!$A19*(IF(Scenario_Select="Scenario 1",'I2 CBA Inputs'!AI$81-'I2 CBA Inputs'!AI86,0)+IF(Scenario_Select="Scenario 2",'I2 CBA Inputs'!AI$90-'I2 CBA Inputs'!AI95,0)+IF(Scenario_Select="Scenario 3",'I2 CBA Inputs'!AI$99-'I2 CBA Inputs'!AI104,0)+IF(Scenario_Select="Scenario 4",'I2 CBA Inputs'!AI$108-'I2 CBA Inputs'!AI113,0))</f>
        <v>0</v>
      </c>
    </row>
    <row r="101" spans="2:36" x14ac:dyDescent="0.2">
      <c r="B101" s="9">
        <f>+'I1 General Inputs'!$B$20</f>
        <v>6</v>
      </c>
      <c r="C101" s="15" t="str">
        <f>+'I1 General Inputs'!$C$20</f>
        <v>Option 5B</v>
      </c>
      <c r="D101" s="28"/>
      <c r="E101" s="13" t="s">
        <v>35</v>
      </c>
      <c r="F101" s="19">
        <f t="shared" si="27"/>
        <v>28112064.214378189</v>
      </c>
      <c r="G101" s="18">
        <f>IFERROR('I1 General Inputs'!$A20*(IF(Scenario_Select="Scenario 1",'I2 CBA Inputs'!F$81-'I2 CBA Inputs'!F87,0)+IF(Scenario_Select="Scenario 2",'I2 CBA Inputs'!F$90-'I2 CBA Inputs'!F96,0)+IF(Scenario_Select="Scenario 3",'I2 CBA Inputs'!F$99-'I2 CBA Inputs'!F105,0)+IF(Scenario_Select="Scenario 4",'I2 CBA Inputs'!F$108-'I2 CBA Inputs'!F114,0)),0)</f>
        <v>0</v>
      </c>
      <c r="H101" s="18">
        <f>IFERROR('I1 General Inputs'!$A20*(IF(Scenario_Select="Scenario 1",'I2 CBA Inputs'!G$81-'I2 CBA Inputs'!G87,0)+IF(Scenario_Select="Scenario 2",'I2 CBA Inputs'!G$90-'I2 CBA Inputs'!G96,0)+IF(Scenario_Select="Scenario 3",'I2 CBA Inputs'!G$99-'I2 CBA Inputs'!G105,0)+IF(Scenario_Select="Scenario 4",'I2 CBA Inputs'!G$108-'I2 CBA Inputs'!G114,0)),0)</f>
        <v>4.4725209986916248</v>
      </c>
      <c r="I101" s="18">
        <f>IFERROR('I1 General Inputs'!$A20*(IF(Scenario_Select="Scenario 1",'I2 CBA Inputs'!H$81-'I2 CBA Inputs'!H87,0)+IF(Scenario_Select="Scenario 2",'I2 CBA Inputs'!H$90-'I2 CBA Inputs'!H96,0)+IF(Scenario_Select="Scenario 3",'I2 CBA Inputs'!H$99-'I2 CBA Inputs'!H105,0)+IF(Scenario_Select="Scenario 4",'I2 CBA Inputs'!H$108-'I2 CBA Inputs'!H114,0)),0)</f>
        <v>0.38128364679756599</v>
      </c>
      <c r="J101" s="18">
        <f>IFERROR('I1 General Inputs'!$A20*(IF(Scenario_Select="Scenario 1",'I2 CBA Inputs'!I$81-'I2 CBA Inputs'!I87,0)+IF(Scenario_Select="Scenario 2",'I2 CBA Inputs'!I$90-'I2 CBA Inputs'!I96,0)+IF(Scenario_Select="Scenario 3",'I2 CBA Inputs'!I$99-'I2 CBA Inputs'!I105,0)+IF(Scenario_Select="Scenario 4",'I2 CBA Inputs'!I$108-'I2 CBA Inputs'!I114,0)),0)</f>
        <v>0.45932165424674221</v>
      </c>
      <c r="K101" s="18">
        <f>IFERROR('I1 General Inputs'!$A20*(IF(Scenario_Select="Scenario 1",'I2 CBA Inputs'!J$81-'I2 CBA Inputs'!J87,0)+IF(Scenario_Select="Scenario 2",'I2 CBA Inputs'!J$90-'I2 CBA Inputs'!J96,0)+IF(Scenario_Select="Scenario 3",'I2 CBA Inputs'!J$99-'I2 CBA Inputs'!J105,0)+IF(Scenario_Select="Scenario 4",'I2 CBA Inputs'!J$108-'I2 CBA Inputs'!J114,0)),0)</f>
        <v>1.0305187676058989</v>
      </c>
      <c r="L101" s="18">
        <f>IFERROR('I1 General Inputs'!$A20*(IF(Scenario_Select="Scenario 1",'I2 CBA Inputs'!K$81-'I2 CBA Inputs'!K87,0)+IF(Scenario_Select="Scenario 2",'I2 CBA Inputs'!K$90-'I2 CBA Inputs'!K96,0)+IF(Scenario_Select="Scenario 3",'I2 CBA Inputs'!K$99-'I2 CBA Inputs'!K105,0)+IF(Scenario_Select="Scenario 4",'I2 CBA Inputs'!K$108-'I2 CBA Inputs'!K114,0)),0)</f>
        <v>0.56953377373878622</v>
      </c>
      <c r="M101" s="18">
        <f>IFERROR('I1 General Inputs'!$A20*(IF(Scenario_Select="Scenario 1",'I2 CBA Inputs'!L$81-'I2 CBA Inputs'!L87,0)+IF(Scenario_Select="Scenario 2",'I2 CBA Inputs'!L$90-'I2 CBA Inputs'!L96,0)+IF(Scenario_Select="Scenario 3",'I2 CBA Inputs'!L$99-'I2 CBA Inputs'!L105,0)+IF(Scenario_Select="Scenario 4",'I2 CBA Inputs'!L$108-'I2 CBA Inputs'!L114,0)),0)</f>
        <v>0.5720660171606895</v>
      </c>
      <c r="N101" s="18">
        <f>IFERROR('I1 General Inputs'!$A20*(IF(Scenario_Select="Scenario 1",'I2 CBA Inputs'!M$81-'I2 CBA Inputs'!M87,0)+IF(Scenario_Select="Scenario 2",'I2 CBA Inputs'!M$90-'I2 CBA Inputs'!M96,0)+IF(Scenario_Select="Scenario 3",'I2 CBA Inputs'!M$99-'I2 CBA Inputs'!M105,0)+IF(Scenario_Select="Scenario 4",'I2 CBA Inputs'!M$108-'I2 CBA Inputs'!M114,0)),0)</f>
        <v>0.87694843664760302</v>
      </c>
      <c r="O101" s="18">
        <f>IFERROR('I1 General Inputs'!$A20*(IF(Scenario_Select="Scenario 1",'I2 CBA Inputs'!N$81-'I2 CBA Inputs'!N87,0)+IF(Scenario_Select="Scenario 2",'I2 CBA Inputs'!N$90-'I2 CBA Inputs'!N96,0)+IF(Scenario_Select="Scenario 3",'I2 CBA Inputs'!N$99-'I2 CBA Inputs'!N105,0)+IF(Scenario_Select="Scenario 4",'I2 CBA Inputs'!N$108-'I2 CBA Inputs'!N114,0)),0)</f>
        <v>1.1070040707946585</v>
      </c>
      <c r="P101" s="18">
        <f>IFERROR('I1 General Inputs'!$A20*(IF(Scenario_Select="Scenario 1",'I2 CBA Inputs'!O$81-'I2 CBA Inputs'!O87,0)+IF(Scenario_Select="Scenario 2",'I2 CBA Inputs'!O$90-'I2 CBA Inputs'!O96,0)+IF(Scenario_Select="Scenario 3",'I2 CBA Inputs'!O$99-'I2 CBA Inputs'!O105,0)+IF(Scenario_Select="Scenario 4",'I2 CBA Inputs'!O$108-'I2 CBA Inputs'!O114,0)),0)</f>
        <v>33039349.873621404</v>
      </c>
      <c r="Q101" s="18">
        <f>IFERROR('I1 General Inputs'!$A20*(IF(Scenario_Select="Scenario 1",'I2 CBA Inputs'!P$81-'I2 CBA Inputs'!P87,0)+IF(Scenario_Select="Scenario 2",'I2 CBA Inputs'!P$90-'I2 CBA Inputs'!P96,0)+IF(Scenario_Select="Scenario 3",'I2 CBA Inputs'!P$99-'I2 CBA Inputs'!P105,0)+IF(Scenario_Select="Scenario 4",'I2 CBA Inputs'!P$108-'I2 CBA Inputs'!P114,0)),0)</f>
        <v>2.0277336629198599</v>
      </c>
      <c r="R101" s="18">
        <f>IFERROR('I1 General Inputs'!$A20*(IF(Scenario_Select="Scenario 1",'I2 CBA Inputs'!Q$81-'I2 CBA Inputs'!Q87,0)+IF(Scenario_Select="Scenario 2",'I2 CBA Inputs'!Q$90-'I2 CBA Inputs'!Q96,0)+IF(Scenario_Select="Scenario 3",'I2 CBA Inputs'!Q$99-'I2 CBA Inputs'!Q105,0)+IF(Scenario_Select="Scenario 4",'I2 CBA Inputs'!Q$108-'I2 CBA Inputs'!Q114,0)),0)</f>
        <v>0.1311432573395086</v>
      </c>
      <c r="S101" s="18">
        <f>IFERROR('I1 General Inputs'!$A20*(IF(Scenario_Select="Scenario 1",'I2 CBA Inputs'!R$81-'I2 CBA Inputs'!R87,0)+IF(Scenario_Select="Scenario 2",'I2 CBA Inputs'!R$90-'I2 CBA Inputs'!R96,0)+IF(Scenario_Select="Scenario 3",'I2 CBA Inputs'!R$99-'I2 CBA Inputs'!R105,0)+IF(Scenario_Select="Scenario 4",'I2 CBA Inputs'!R$108-'I2 CBA Inputs'!R114,0)),0)</f>
        <v>24399735.933934808</v>
      </c>
      <c r="T101" s="18">
        <f>IFERROR('I1 General Inputs'!$A20*(IF(Scenario_Select="Scenario 1",'I2 CBA Inputs'!S$81-'I2 CBA Inputs'!S87,0)+IF(Scenario_Select="Scenario 2",'I2 CBA Inputs'!S$90-'I2 CBA Inputs'!S96,0)+IF(Scenario_Select="Scenario 3",'I2 CBA Inputs'!S$99-'I2 CBA Inputs'!S105,0)+IF(Scenario_Select="Scenario 4",'I2 CBA Inputs'!S$108-'I2 CBA Inputs'!S114,0)),0)</f>
        <v>-12640870.694757789</v>
      </c>
      <c r="U101" s="18">
        <f>IFERROR('I1 General Inputs'!$A20*(IF(Scenario_Select="Scenario 1",'I2 CBA Inputs'!T$81-'I2 CBA Inputs'!T87,0)+IF(Scenario_Select="Scenario 2",'I2 CBA Inputs'!T$90-'I2 CBA Inputs'!T96,0)+IF(Scenario_Select="Scenario 3",'I2 CBA Inputs'!T$99-'I2 CBA Inputs'!T105,0)+IF(Scenario_Select="Scenario 4",'I2 CBA Inputs'!T$108-'I2 CBA Inputs'!T114,0)),0)</f>
        <v>4868139.9210622907</v>
      </c>
      <c r="V101" s="18">
        <f>IFERROR('I1 General Inputs'!$A20*(IF(Scenario_Select="Scenario 1",'I2 CBA Inputs'!U$81-'I2 CBA Inputs'!U87,0)+IF(Scenario_Select="Scenario 2",'I2 CBA Inputs'!U$90-'I2 CBA Inputs'!U96,0)+IF(Scenario_Select="Scenario 3",'I2 CBA Inputs'!U$99-'I2 CBA Inputs'!U105,0)+IF(Scenario_Select="Scenario 4",'I2 CBA Inputs'!U$108-'I2 CBA Inputs'!U114,0)),0)</f>
        <v>0</v>
      </c>
      <c r="W101" s="18">
        <f>IFERROR('I1 General Inputs'!$A20*(IF(Scenario_Select="Scenario 1",'I2 CBA Inputs'!V$81-'I2 CBA Inputs'!V87,0)+IF(Scenario_Select="Scenario 2",'I2 CBA Inputs'!V$90-'I2 CBA Inputs'!V96,0)+IF(Scenario_Select="Scenario 3",'I2 CBA Inputs'!V$99-'I2 CBA Inputs'!V105,0)+IF(Scenario_Select="Scenario 4",'I2 CBA Inputs'!V$108-'I2 CBA Inputs'!V114,0)),0)</f>
        <v>38038273.806587458</v>
      </c>
      <c r="X101" s="18">
        <f>IFERROR('I1 General Inputs'!$A20*(IF(Scenario_Select="Scenario 1",'I2 CBA Inputs'!W$81-'I2 CBA Inputs'!W87,0)+IF(Scenario_Select="Scenario 2",'I2 CBA Inputs'!W$90-'I2 CBA Inputs'!W96,0)+IF(Scenario_Select="Scenario 3",'I2 CBA Inputs'!W$99-'I2 CBA Inputs'!W105,0)+IF(Scenario_Select="Scenario 4",'I2 CBA Inputs'!W$108-'I2 CBA Inputs'!W114,0)),0)</f>
        <v>-4206714.0299829626</v>
      </c>
      <c r="Y101" s="18">
        <f>IFERROR('I1 General Inputs'!$A20*(IF(Scenario_Select="Scenario 1",'I2 CBA Inputs'!X$81-'I2 CBA Inputs'!X87,0)+IF(Scenario_Select="Scenario 2",'I2 CBA Inputs'!X$90-'I2 CBA Inputs'!X96,0)+IF(Scenario_Select="Scenario 3",'I2 CBA Inputs'!X$99-'I2 CBA Inputs'!X105,0)+IF(Scenario_Select="Scenario 4",'I2 CBA Inputs'!X$108-'I2 CBA Inputs'!X114,0)),0)</f>
        <v>0.17715761099541516</v>
      </c>
      <c r="Z101" s="18">
        <f>IFERROR('I1 General Inputs'!$A20*(IF(Scenario_Select="Scenario 1",'I2 CBA Inputs'!Y$81-'I2 CBA Inputs'!Y87,0)+IF(Scenario_Select="Scenario 2",'I2 CBA Inputs'!Y$90-'I2 CBA Inputs'!Y96,0)+IF(Scenario_Select="Scenario 3",'I2 CBA Inputs'!Y$99-'I2 CBA Inputs'!Y105,0)+IF(Scenario_Select="Scenario 4",'I2 CBA Inputs'!Y$108-'I2 CBA Inputs'!Y114,0)),0)</f>
        <v>0.45545266418414343</v>
      </c>
      <c r="AA101" s="18">
        <f>IFERROR('I1 General Inputs'!$A20*(IF(Scenario_Select="Scenario 1",'I2 CBA Inputs'!Z$81-'I2 CBA Inputs'!Z87,0)+IF(Scenario_Select="Scenario 2",'I2 CBA Inputs'!Z$90-'I2 CBA Inputs'!Z96,0)+IF(Scenario_Select="Scenario 3",'I2 CBA Inputs'!Z$99-'I2 CBA Inputs'!Z105,0)+IF(Scenario_Select="Scenario 4",'I2 CBA Inputs'!Z$108-'I2 CBA Inputs'!Z114,0)),0)</f>
        <v>-12515341.578622282</v>
      </c>
      <c r="AB101" s="18">
        <f>IFERROR('I1 General Inputs'!$A20*(IF(Scenario_Select="Scenario 1",'I2 CBA Inputs'!AA$81-'I2 CBA Inputs'!AA87,0)+IF(Scenario_Select="Scenario 2",'I2 CBA Inputs'!AA$90-'I2 CBA Inputs'!AA96,0)+IF(Scenario_Select="Scenario 3",'I2 CBA Inputs'!AA$99-'I2 CBA Inputs'!AA105,0)+IF(Scenario_Select="Scenario 4",'I2 CBA Inputs'!AA$108-'I2 CBA Inputs'!AA114,0)),0)</f>
        <v>0.33139214399532979</v>
      </c>
      <c r="AC101" s="18">
        <f>IFERROR('I1 General Inputs'!$A20*(IF(Scenario_Select="Scenario 1",'I2 CBA Inputs'!AB$81-'I2 CBA Inputs'!AB87,0)+IF(Scenario_Select="Scenario 2",'I2 CBA Inputs'!AB$90-'I2 CBA Inputs'!AB96,0)+IF(Scenario_Select="Scenario 3",'I2 CBA Inputs'!AB$99-'I2 CBA Inputs'!AB105,0)+IF(Scenario_Select="Scenario 4",'I2 CBA Inputs'!AB$108-'I2 CBA Inputs'!AB114,0)),0)</f>
        <v>0.69512772275417767</v>
      </c>
      <c r="AD101" s="18">
        <f>IFERROR('I1 General Inputs'!$A20*(IF(Scenario_Select="Scenario 1",'I2 CBA Inputs'!AC$81-'I2 CBA Inputs'!AC87,0)+IF(Scenario_Select="Scenario 2",'I2 CBA Inputs'!AC$90-'I2 CBA Inputs'!AC96,0)+IF(Scenario_Select="Scenario 3",'I2 CBA Inputs'!AC$99-'I2 CBA Inputs'!AC105,0)+IF(Scenario_Select="Scenario 4",'I2 CBA Inputs'!AC$108-'I2 CBA Inputs'!AC114,0)),0)</f>
        <v>1286505.7550257146</v>
      </c>
      <c r="AE101" s="18">
        <f>IFERROR('I1 General Inputs'!$A20*(IF(Scenario_Select="Scenario 1",'I2 CBA Inputs'!AD$81-'I2 CBA Inputs'!AD87,0)+IF(Scenario_Select="Scenario 2",'I2 CBA Inputs'!AD$90-'I2 CBA Inputs'!AD96,0)+IF(Scenario_Select="Scenario 3",'I2 CBA Inputs'!AD$99-'I2 CBA Inputs'!AD105,0)+IF(Scenario_Select="Scenario 4",'I2 CBA Inputs'!AD$108-'I2 CBA Inputs'!AD114,0)),0)</f>
        <v>-40471620.180294007</v>
      </c>
      <c r="AF101" s="18">
        <f>'I1 General Inputs'!$A20*(IF(Scenario_Select="Scenario 1",'I2 CBA Inputs'!AE$81-'I2 CBA Inputs'!AE87,0)+IF(Scenario_Select="Scenario 2",'I2 CBA Inputs'!AE$90-'I2 CBA Inputs'!AE96,0)+IF(Scenario_Select="Scenario 3",'I2 CBA Inputs'!AE$99-'I2 CBA Inputs'!AE105,0)+IF(Scenario_Select="Scenario 4",'I2 CBA Inputs'!AE$108-'I2 CBA Inputs'!AE114,0))</f>
        <v>780885.81888463721</v>
      </c>
      <c r="AG101" s="18">
        <f>'I1 General Inputs'!$A20*(IF(Scenario_Select="Scenario 1",'I2 CBA Inputs'!AF$81-'I2 CBA Inputs'!AF87,0)+IF(Scenario_Select="Scenario 2",'I2 CBA Inputs'!AF$90-'I2 CBA Inputs'!AF96,0)+IF(Scenario_Select="Scenario 3",'I2 CBA Inputs'!AF$99-'I2 CBA Inputs'!AF105,0)+IF(Scenario_Select="Scenario 4",'I2 CBA Inputs'!AF$108-'I2 CBA Inputs'!AF114,0))</f>
        <v>0</v>
      </c>
      <c r="AH101" s="18">
        <f>'I1 General Inputs'!$A20*(IF(Scenario_Select="Scenario 1",'I2 CBA Inputs'!AG$81-'I2 CBA Inputs'!AG87,0)+IF(Scenario_Select="Scenario 2",'I2 CBA Inputs'!AG$90-'I2 CBA Inputs'!AG96,0)+IF(Scenario_Select="Scenario 3",'I2 CBA Inputs'!AG$99-'I2 CBA Inputs'!AG105,0)+IF(Scenario_Select="Scenario 4",'I2 CBA Inputs'!AG$108-'I2 CBA Inputs'!AG114,0))</f>
        <v>0</v>
      </c>
      <c r="AI101" s="18">
        <f>'I1 General Inputs'!$A20*(IF(Scenario_Select="Scenario 1",'I2 CBA Inputs'!AH$81-'I2 CBA Inputs'!AH87,0)+IF(Scenario_Select="Scenario 2",'I2 CBA Inputs'!AH$90-'I2 CBA Inputs'!AH96,0)+IF(Scenario_Select="Scenario 3",'I2 CBA Inputs'!AH$99-'I2 CBA Inputs'!AH105,0)+IF(Scenario_Select="Scenario 4",'I2 CBA Inputs'!AH$108-'I2 CBA Inputs'!AH114,0))</f>
        <v>0</v>
      </c>
      <c r="AJ101" s="18">
        <f>'I1 General Inputs'!$A20*(IF(Scenario_Select="Scenario 1",'I2 CBA Inputs'!AI$81-'I2 CBA Inputs'!AI87,0)+IF(Scenario_Select="Scenario 2",'I2 CBA Inputs'!AI$90-'I2 CBA Inputs'!AI96,0)+IF(Scenario_Select="Scenario 3",'I2 CBA Inputs'!AI$99-'I2 CBA Inputs'!AI105,0)+IF(Scenario_Select="Scenario 4",'I2 CBA Inputs'!AI$108-'I2 CBA Inputs'!AI114,0))</f>
        <v>0</v>
      </c>
    </row>
    <row r="102" spans="2:36" x14ac:dyDescent="0.2">
      <c r="F102" s="207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</row>
    <row r="103" spans="2:36" ht="15.75" x14ac:dyDescent="0.25">
      <c r="B103" s="5" t="str">
        <f>+'I2 CBA Inputs'!B116</f>
        <v xml:space="preserve">Fuel consumption from generation dispatch </v>
      </c>
      <c r="C103" s="30"/>
      <c r="D103" s="30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</row>
    <row r="104" spans="2:36" ht="15.75" x14ac:dyDescent="0.25">
      <c r="B104" s="7" t="s">
        <v>14</v>
      </c>
      <c r="C104" s="11" t="s">
        <v>13</v>
      </c>
      <c r="D104" s="11"/>
      <c r="E104" s="8" t="s">
        <v>22</v>
      </c>
      <c r="F104" s="8" t="s">
        <v>37</v>
      </c>
      <c r="G104" s="7">
        <f t="shared" ref="G104:AJ104" si="28">G$7</f>
        <v>2020</v>
      </c>
      <c r="H104" s="7">
        <f t="shared" si="28"/>
        <v>2021</v>
      </c>
      <c r="I104" s="7">
        <f t="shared" si="28"/>
        <v>2022</v>
      </c>
      <c r="J104" s="7">
        <f t="shared" si="28"/>
        <v>2023</v>
      </c>
      <c r="K104" s="7">
        <f t="shared" si="28"/>
        <v>2024</v>
      </c>
      <c r="L104" s="7">
        <f t="shared" si="28"/>
        <v>2025</v>
      </c>
      <c r="M104" s="7">
        <f t="shared" si="28"/>
        <v>2026</v>
      </c>
      <c r="N104" s="7">
        <f t="shared" si="28"/>
        <v>2027</v>
      </c>
      <c r="O104" s="7">
        <f t="shared" si="28"/>
        <v>2028</v>
      </c>
      <c r="P104" s="7">
        <f t="shared" si="28"/>
        <v>2029</v>
      </c>
      <c r="Q104" s="7">
        <f t="shared" si="28"/>
        <v>2030</v>
      </c>
      <c r="R104" s="7">
        <f t="shared" si="28"/>
        <v>2031</v>
      </c>
      <c r="S104" s="7">
        <f t="shared" si="28"/>
        <v>2032</v>
      </c>
      <c r="T104" s="7">
        <f t="shared" si="28"/>
        <v>2033</v>
      </c>
      <c r="U104" s="7">
        <f t="shared" si="28"/>
        <v>2034</v>
      </c>
      <c r="V104" s="7">
        <f t="shared" si="28"/>
        <v>2035</v>
      </c>
      <c r="W104" s="7">
        <f t="shared" si="28"/>
        <v>2036</v>
      </c>
      <c r="X104" s="7">
        <f t="shared" si="28"/>
        <v>2037</v>
      </c>
      <c r="Y104" s="7">
        <f t="shared" si="28"/>
        <v>2038</v>
      </c>
      <c r="Z104" s="7">
        <f t="shared" si="28"/>
        <v>2039</v>
      </c>
      <c r="AA104" s="7">
        <f t="shared" si="28"/>
        <v>2040</v>
      </c>
      <c r="AB104" s="7">
        <f t="shared" si="28"/>
        <v>2041</v>
      </c>
      <c r="AC104" s="7">
        <f t="shared" si="28"/>
        <v>2042</v>
      </c>
      <c r="AD104" s="7">
        <f t="shared" si="28"/>
        <v>2043</v>
      </c>
      <c r="AE104" s="7">
        <f t="shared" si="28"/>
        <v>2044</v>
      </c>
      <c r="AF104" s="7">
        <f t="shared" si="28"/>
        <v>2045</v>
      </c>
      <c r="AG104" s="7">
        <f t="shared" si="28"/>
        <v>0</v>
      </c>
      <c r="AH104" s="7">
        <f t="shared" si="28"/>
        <v>0</v>
      </c>
      <c r="AI104" s="7">
        <f t="shared" si="28"/>
        <v>0</v>
      </c>
      <c r="AJ104" s="7">
        <f t="shared" si="28"/>
        <v>0</v>
      </c>
    </row>
    <row r="105" spans="2:36" x14ac:dyDescent="0.2">
      <c r="B105" s="9">
        <f>+'I1 General Inputs'!$B$15</f>
        <v>1</v>
      </c>
      <c r="C105" s="15" t="str">
        <f>+'I1 General Inputs'!$C$15</f>
        <v>Option 1A</v>
      </c>
      <c r="D105" s="28"/>
      <c r="E105" s="13" t="s">
        <v>35</v>
      </c>
      <c r="F105" s="19">
        <f t="shared" ref="F105:F110" si="29">NPV(DiscountRate,G105:AJ105)/(1+DiscountRate)^(FirstYear-BaseYear-2)</f>
        <v>58460685.474644393</v>
      </c>
      <c r="G105" s="18">
        <f>IFERROR('I1 General Inputs'!$A15*(IF(Scenario_Select="Scenario 1",'I2 CBA Inputs'!F$119-'I2 CBA Inputs'!F120,0)+IF(Scenario_Select="Scenario 2",'I2 CBA Inputs'!F$128-'I2 CBA Inputs'!F129,0)+IF(Scenario_Select="Scenario 3",'I2 CBA Inputs'!F$137-'I2 CBA Inputs'!F138,0)+IF(Scenario_Select="Scenario 4",'I2 CBA Inputs'!F$146-'I2 CBA Inputs'!F147,0)),0)</f>
        <v>0</v>
      </c>
      <c r="H105" s="18">
        <f>IFERROR('I1 General Inputs'!$A15*(IF(Scenario_Select="Scenario 1",'I2 CBA Inputs'!G$119-'I2 CBA Inputs'!G120,0)+IF(Scenario_Select="Scenario 2",'I2 CBA Inputs'!G$128-'I2 CBA Inputs'!G129,0)+IF(Scenario_Select="Scenario 3",'I2 CBA Inputs'!G$137-'I2 CBA Inputs'!G138,0)+IF(Scenario_Select="Scenario 4",'I2 CBA Inputs'!G$146-'I2 CBA Inputs'!G147,0)),0)</f>
        <v>-20.264466285705566</v>
      </c>
      <c r="I105" s="18">
        <f>IFERROR('I1 General Inputs'!$A15*(IF(Scenario_Select="Scenario 1",'I2 CBA Inputs'!H$119-'I2 CBA Inputs'!H120,0)+IF(Scenario_Select="Scenario 2",'I2 CBA Inputs'!H$128-'I2 CBA Inputs'!H129,0)+IF(Scenario_Select="Scenario 3",'I2 CBA Inputs'!H$137-'I2 CBA Inputs'!H138,0)+IF(Scenario_Select="Scenario 4",'I2 CBA Inputs'!H$146-'I2 CBA Inputs'!H147,0)),0)</f>
        <v>38000.08834695816</v>
      </c>
      <c r="J105" s="18">
        <f>IFERROR('I1 General Inputs'!$A15*(IF(Scenario_Select="Scenario 1",'I2 CBA Inputs'!I$119-'I2 CBA Inputs'!I120,0)+IF(Scenario_Select="Scenario 2",'I2 CBA Inputs'!I$128-'I2 CBA Inputs'!I129,0)+IF(Scenario_Select="Scenario 3",'I2 CBA Inputs'!I$137-'I2 CBA Inputs'!I138,0)+IF(Scenario_Select="Scenario 4",'I2 CBA Inputs'!I$146-'I2 CBA Inputs'!I147,0)),0)</f>
        <v>5611118.4935283661</v>
      </c>
      <c r="K105" s="18">
        <f>IFERROR('I1 General Inputs'!$A15*(IF(Scenario_Select="Scenario 1",'I2 CBA Inputs'!J$119-'I2 CBA Inputs'!J120,0)+IF(Scenario_Select="Scenario 2",'I2 CBA Inputs'!J$128-'I2 CBA Inputs'!J129,0)+IF(Scenario_Select="Scenario 3",'I2 CBA Inputs'!J$137-'I2 CBA Inputs'!J138,0)+IF(Scenario_Select="Scenario 4",'I2 CBA Inputs'!J$146-'I2 CBA Inputs'!J147,0)),0)</f>
        <v>6264455.3380875587</v>
      </c>
      <c r="L105" s="18">
        <f>IFERROR('I1 General Inputs'!$A15*(IF(Scenario_Select="Scenario 1",'I2 CBA Inputs'!K$119-'I2 CBA Inputs'!K120,0)+IF(Scenario_Select="Scenario 2",'I2 CBA Inputs'!K$128-'I2 CBA Inputs'!K129,0)+IF(Scenario_Select="Scenario 3",'I2 CBA Inputs'!K$137-'I2 CBA Inputs'!K138,0)+IF(Scenario_Select="Scenario 4",'I2 CBA Inputs'!K$146-'I2 CBA Inputs'!K147,0)),0)</f>
        <v>6762709.357878685</v>
      </c>
      <c r="M105" s="18">
        <f>IFERROR('I1 General Inputs'!$A15*(IF(Scenario_Select="Scenario 1",'I2 CBA Inputs'!L$119-'I2 CBA Inputs'!L120,0)+IF(Scenario_Select="Scenario 2",'I2 CBA Inputs'!L$128-'I2 CBA Inputs'!L129,0)+IF(Scenario_Select="Scenario 3",'I2 CBA Inputs'!L$137-'I2 CBA Inputs'!L138,0)+IF(Scenario_Select="Scenario 4",'I2 CBA Inputs'!L$146-'I2 CBA Inputs'!L147,0)),0)</f>
        <v>10153235.320831299</v>
      </c>
      <c r="N105" s="18">
        <f>IFERROR('I1 General Inputs'!$A15*(IF(Scenario_Select="Scenario 1",'I2 CBA Inputs'!M$119-'I2 CBA Inputs'!M120,0)+IF(Scenario_Select="Scenario 2",'I2 CBA Inputs'!M$128-'I2 CBA Inputs'!M129,0)+IF(Scenario_Select="Scenario 3",'I2 CBA Inputs'!M$137-'I2 CBA Inputs'!M138,0)+IF(Scenario_Select="Scenario 4",'I2 CBA Inputs'!M$146-'I2 CBA Inputs'!M147,0)),0)</f>
        <v>7437761.4055271149</v>
      </c>
      <c r="O105" s="18">
        <f>IFERROR('I1 General Inputs'!$A15*(IF(Scenario_Select="Scenario 1",'I2 CBA Inputs'!N$119-'I2 CBA Inputs'!N120,0)+IF(Scenario_Select="Scenario 2",'I2 CBA Inputs'!N$128-'I2 CBA Inputs'!N129,0)+IF(Scenario_Select="Scenario 3",'I2 CBA Inputs'!N$137-'I2 CBA Inputs'!N138,0)+IF(Scenario_Select="Scenario 4",'I2 CBA Inputs'!N$146-'I2 CBA Inputs'!N147,0)),0)</f>
        <v>8862027.8445940018</v>
      </c>
      <c r="P105" s="18">
        <f>IFERROR('I1 General Inputs'!$A15*(IF(Scenario_Select="Scenario 1",'I2 CBA Inputs'!O$119-'I2 CBA Inputs'!O120,0)+IF(Scenario_Select="Scenario 2",'I2 CBA Inputs'!O$128-'I2 CBA Inputs'!O129,0)+IF(Scenario_Select="Scenario 3",'I2 CBA Inputs'!O$137-'I2 CBA Inputs'!O138,0)+IF(Scenario_Select="Scenario 4",'I2 CBA Inputs'!O$146-'I2 CBA Inputs'!O147,0)),0)</f>
        <v>-4163451.1595578194</v>
      </c>
      <c r="Q105" s="18">
        <f>IFERROR('I1 General Inputs'!$A15*(IF(Scenario_Select="Scenario 1",'I2 CBA Inputs'!P$119-'I2 CBA Inputs'!P120,0)+IF(Scenario_Select="Scenario 2",'I2 CBA Inputs'!P$128-'I2 CBA Inputs'!P129,0)+IF(Scenario_Select="Scenario 3",'I2 CBA Inputs'!P$137-'I2 CBA Inputs'!P138,0)+IF(Scenario_Select="Scenario 4",'I2 CBA Inputs'!P$146-'I2 CBA Inputs'!P147,0)),0)</f>
        <v>-10934269.875426769</v>
      </c>
      <c r="R105" s="18">
        <f>IFERROR('I1 General Inputs'!$A15*(IF(Scenario_Select="Scenario 1",'I2 CBA Inputs'!Q$119-'I2 CBA Inputs'!Q120,0)+IF(Scenario_Select="Scenario 2",'I2 CBA Inputs'!Q$128-'I2 CBA Inputs'!Q129,0)+IF(Scenario_Select="Scenario 3",'I2 CBA Inputs'!Q$137-'I2 CBA Inputs'!Q138,0)+IF(Scenario_Select="Scenario 4",'I2 CBA Inputs'!Q$146-'I2 CBA Inputs'!Q147,0)),0)</f>
        <v>-13224737.525324345</v>
      </c>
      <c r="S105" s="18">
        <f>IFERROR('I1 General Inputs'!$A15*(IF(Scenario_Select="Scenario 1",'I2 CBA Inputs'!R$119-'I2 CBA Inputs'!R120,0)+IF(Scenario_Select="Scenario 2",'I2 CBA Inputs'!R$128-'I2 CBA Inputs'!R129,0)+IF(Scenario_Select="Scenario 3",'I2 CBA Inputs'!R$137-'I2 CBA Inputs'!R138,0)+IF(Scenario_Select="Scenario 4",'I2 CBA Inputs'!R$146-'I2 CBA Inputs'!R147,0)),0)</f>
        <v>-8956189.9012446404</v>
      </c>
      <c r="T105" s="18">
        <f>IFERROR('I1 General Inputs'!$A15*(IF(Scenario_Select="Scenario 1",'I2 CBA Inputs'!S$119-'I2 CBA Inputs'!S120,0)+IF(Scenario_Select="Scenario 2",'I2 CBA Inputs'!S$128-'I2 CBA Inputs'!S129,0)+IF(Scenario_Select="Scenario 3",'I2 CBA Inputs'!S$137-'I2 CBA Inputs'!S138,0)+IF(Scenario_Select="Scenario 4",'I2 CBA Inputs'!S$146-'I2 CBA Inputs'!S147,0)),0)</f>
        <v>12074755.685187817</v>
      </c>
      <c r="U105" s="18">
        <f>IFERROR('I1 General Inputs'!$A15*(IF(Scenario_Select="Scenario 1",'I2 CBA Inputs'!T$119-'I2 CBA Inputs'!T120,0)+IF(Scenario_Select="Scenario 2",'I2 CBA Inputs'!T$128-'I2 CBA Inputs'!T129,0)+IF(Scenario_Select="Scenario 3",'I2 CBA Inputs'!T$137-'I2 CBA Inputs'!T138,0)+IF(Scenario_Select="Scenario 4",'I2 CBA Inputs'!T$146-'I2 CBA Inputs'!T147,0)),0)</f>
        <v>2078228.4309415817</v>
      </c>
      <c r="V105" s="18">
        <f>IFERROR('I1 General Inputs'!$A15*(IF(Scenario_Select="Scenario 1",'I2 CBA Inputs'!U$119-'I2 CBA Inputs'!U120,0)+IF(Scenario_Select="Scenario 2",'I2 CBA Inputs'!U$128-'I2 CBA Inputs'!U129,0)+IF(Scenario_Select="Scenario 3",'I2 CBA Inputs'!U$137-'I2 CBA Inputs'!U138,0)+IF(Scenario_Select="Scenario 4",'I2 CBA Inputs'!U$146-'I2 CBA Inputs'!U147,0)),0)</f>
        <v>-18920009.45370388</v>
      </c>
      <c r="W105" s="18">
        <f>IFERROR('I1 General Inputs'!$A15*(IF(Scenario_Select="Scenario 1",'I2 CBA Inputs'!V$119-'I2 CBA Inputs'!V120,0)+IF(Scenario_Select="Scenario 2",'I2 CBA Inputs'!V$128-'I2 CBA Inputs'!V129,0)+IF(Scenario_Select="Scenario 3",'I2 CBA Inputs'!V$137-'I2 CBA Inputs'!V138,0)+IF(Scenario_Select="Scenario 4",'I2 CBA Inputs'!V$146-'I2 CBA Inputs'!V147,0)),0)</f>
        <v>-11767925.56826067</v>
      </c>
      <c r="X105" s="18">
        <f>IFERROR('I1 General Inputs'!$A15*(IF(Scenario_Select="Scenario 1",'I2 CBA Inputs'!W$119-'I2 CBA Inputs'!W120,0)+IF(Scenario_Select="Scenario 2",'I2 CBA Inputs'!W$128-'I2 CBA Inputs'!W129,0)+IF(Scenario_Select="Scenario 3",'I2 CBA Inputs'!W$137-'I2 CBA Inputs'!W138,0)+IF(Scenario_Select="Scenario 4",'I2 CBA Inputs'!W$146-'I2 CBA Inputs'!W147,0)),0)</f>
        <v>18614736.281105518</v>
      </c>
      <c r="Y105" s="18">
        <f>IFERROR('I1 General Inputs'!$A15*(IF(Scenario_Select="Scenario 1",'I2 CBA Inputs'!X$119-'I2 CBA Inputs'!X120,0)+IF(Scenario_Select="Scenario 2",'I2 CBA Inputs'!X$128-'I2 CBA Inputs'!X129,0)+IF(Scenario_Select="Scenario 3",'I2 CBA Inputs'!X$137-'I2 CBA Inputs'!X138,0)+IF(Scenario_Select="Scenario 4",'I2 CBA Inputs'!X$146-'I2 CBA Inputs'!X147,0)),0)</f>
        <v>13793181.199496746</v>
      </c>
      <c r="Z105" s="18">
        <f>IFERROR('I1 General Inputs'!$A15*(IF(Scenario_Select="Scenario 1",'I2 CBA Inputs'!Y$119-'I2 CBA Inputs'!Y120,0)+IF(Scenario_Select="Scenario 2",'I2 CBA Inputs'!Y$128-'I2 CBA Inputs'!Y129,0)+IF(Scenario_Select="Scenario 3",'I2 CBA Inputs'!Y$137-'I2 CBA Inputs'!Y138,0)+IF(Scenario_Select="Scenario 4",'I2 CBA Inputs'!Y$146-'I2 CBA Inputs'!Y147,0)),0)</f>
        <v>7406274.5280122757</v>
      </c>
      <c r="AA105" s="18">
        <f>IFERROR('I1 General Inputs'!$A15*(IF(Scenario_Select="Scenario 1",'I2 CBA Inputs'!Z$119-'I2 CBA Inputs'!Z120,0)+IF(Scenario_Select="Scenario 2",'I2 CBA Inputs'!Z$128-'I2 CBA Inputs'!Z129,0)+IF(Scenario_Select="Scenario 3",'I2 CBA Inputs'!Z$137-'I2 CBA Inputs'!Z138,0)+IF(Scenario_Select="Scenario 4",'I2 CBA Inputs'!Z$146-'I2 CBA Inputs'!Z147,0)),0)</f>
        <v>12087949.234538078</v>
      </c>
      <c r="AB105" s="18">
        <f>IFERROR('I1 General Inputs'!$A15*(IF(Scenario_Select="Scenario 1",'I2 CBA Inputs'!AA$119-'I2 CBA Inputs'!AA120,0)+IF(Scenario_Select="Scenario 2",'I2 CBA Inputs'!AA$128-'I2 CBA Inputs'!AA129,0)+IF(Scenario_Select="Scenario 3",'I2 CBA Inputs'!AA$137-'I2 CBA Inputs'!AA138,0)+IF(Scenario_Select="Scenario 4",'I2 CBA Inputs'!AA$146-'I2 CBA Inputs'!AA147,0)),0)</f>
        <v>26957076.332182884</v>
      </c>
      <c r="AC105" s="18">
        <f>IFERROR('I1 General Inputs'!$A15*(IF(Scenario_Select="Scenario 1",'I2 CBA Inputs'!AB$119-'I2 CBA Inputs'!AB120,0)+IF(Scenario_Select="Scenario 2",'I2 CBA Inputs'!AB$128-'I2 CBA Inputs'!AB129,0)+IF(Scenario_Select="Scenario 3",'I2 CBA Inputs'!AB$137-'I2 CBA Inputs'!AB138,0)+IF(Scenario_Select="Scenario 4",'I2 CBA Inputs'!AB$146-'I2 CBA Inputs'!AB147,0)),0)</f>
        <v>11976588.441233635</v>
      </c>
      <c r="AD105" s="18">
        <f>IFERROR('I1 General Inputs'!$A15*(IF(Scenario_Select="Scenario 1",'I2 CBA Inputs'!AC$119-'I2 CBA Inputs'!AC120,0)+IF(Scenario_Select="Scenario 2",'I2 CBA Inputs'!AC$128-'I2 CBA Inputs'!AC129,0)+IF(Scenario_Select="Scenario 3",'I2 CBA Inputs'!AC$137-'I2 CBA Inputs'!AC138,0)+IF(Scenario_Select="Scenario 4",'I2 CBA Inputs'!AC$146-'I2 CBA Inputs'!AC147,0)),0)</f>
        <v>-6230021.9123182297</v>
      </c>
      <c r="AE105" s="18">
        <f>IFERROR('I1 General Inputs'!$A15*(IF(Scenario_Select="Scenario 1",'I2 CBA Inputs'!AD$119-'I2 CBA Inputs'!AD120,0)+IF(Scenario_Select="Scenario 2",'I2 CBA Inputs'!AD$128-'I2 CBA Inputs'!AD129,0)+IF(Scenario_Select="Scenario 3",'I2 CBA Inputs'!AD$137-'I2 CBA Inputs'!AD138,0)+IF(Scenario_Select="Scenario 4",'I2 CBA Inputs'!AD$146-'I2 CBA Inputs'!AD147,0)),0)</f>
        <v>53041358.50458622</v>
      </c>
      <c r="AF105" s="18">
        <f>'I1 General Inputs'!$A15*(IF(Scenario_Select="Scenario 1",'I2 CBA Inputs'!AE$119-'I2 CBA Inputs'!AE120,0)+IF(Scenario_Select="Scenario 2",'I2 CBA Inputs'!AE$128-'I2 CBA Inputs'!AE129,0)+IF(Scenario_Select="Scenario 3",'I2 CBA Inputs'!AE$137-'I2 CBA Inputs'!AE138,0)+IF(Scenario_Select="Scenario 4",'I2 CBA Inputs'!AE$146-'I2 CBA Inputs'!AE147,0))</f>
        <v>44490866.67875433</v>
      </c>
      <c r="AG105" s="18">
        <f>'I1 General Inputs'!$A15*(IF(Scenario_Select="Scenario 1",'I2 CBA Inputs'!AF$119-'I2 CBA Inputs'!AF120,0)+IF(Scenario_Select="Scenario 2",'I2 CBA Inputs'!AF$128-'I2 CBA Inputs'!AF129,0)+IF(Scenario_Select="Scenario 3",'I2 CBA Inputs'!AF$137-'I2 CBA Inputs'!AF138,0)+IF(Scenario_Select="Scenario 4",'I2 CBA Inputs'!AF$146-'I2 CBA Inputs'!AF147,0))</f>
        <v>0</v>
      </c>
      <c r="AH105" s="18">
        <f>'I1 General Inputs'!$A15*(IF(Scenario_Select="Scenario 1",'I2 CBA Inputs'!AG$119-'I2 CBA Inputs'!AG120,0)+IF(Scenario_Select="Scenario 2",'I2 CBA Inputs'!AG$128-'I2 CBA Inputs'!AG129,0)+IF(Scenario_Select="Scenario 3",'I2 CBA Inputs'!AG$137-'I2 CBA Inputs'!AG138,0)+IF(Scenario_Select="Scenario 4",'I2 CBA Inputs'!AG$146-'I2 CBA Inputs'!AG147,0))</f>
        <v>0</v>
      </c>
      <c r="AI105" s="18">
        <f>'I1 General Inputs'!$A15*(IF(Scenario_Select="Scenario 1",'I2 CBA Inputs'!AH$119-'I2 CBA Inputs'!AH120,0)+IF(Scenario_Select="Scenario 2",'I2 CBA Inputs'!AH$128-'I2 CBA Inputs'!AH129,0)+IF(Scenario_Select="Scenario 3",'I2 CBA Inputs'!AH$137-'I2 CBA Inputs'!AH138,0)+IF(Scenario_Select="Scenario 4",'I2 CBA Inputs'!AH$146-'I2 CBA Inputs'!AH147,0))</f>
        <v>0</v>
      </c>
      <c r="AJ105" s="18">
        <f>'I1 General Inputs'!$A15*(IF(Scenario_Select="Scenario 1",'I2 CBA Inputs'!AI$119-'I2 CBA Inputs'!AI120,0)+IF(Scenario_Select="Scenario 2",'I2 CBA Inputs'!AI$128-'I2 CBA Inputs'!AI129,0)+IF(Scenario_Select="Scenario 3",'I2 CBA Inputs'!AI$137-'I2 CBA Inputs'!AI138,0)+IF(Scenario_Select="Scenario 4",'I2 CBA Inputs'!AI$146-'I2 CBA Inputs'!AI147,0))</f>
        <v>0</v>
      </c>
    </row>
    <row r="106" spans="2:36" x14ac:dyDescent="0.2">
      <c r="B106" s="9">
        <f>+'I1 General Inputs'!$B$16</f>
        <v>2</v>
      </c>
      <c r="C106" s="15" t="str">
        <f>+'I1 General Inputs'!$C$16</f>
        <v>Option 1B</v>
      </c>
      <c r="D106" s="28"/>
      <c r="E106" s="13" t="s">
        <v>35</v>
      </c>
      <c r="F106" s="19">
        <f t="shared" si="29"/>
        <v>92445011.467158586</v>
      </c>
      <c r="G106" s="18">
        <f>IFERROR('I1 General Inputs'!$A16*(IF(Scenario_Select="Scenario 1",'I2 CBA Inputs'!F$119-'I2 CBA Inputs'!F121,0)+IF(Scenario_Select="Scenario 2",'I2 CBA Inputs'!F$128-'I2 CBA Inputs'!F130,0)+IF(Scenario_Select="Scenario 3",'I2 CBA Inputs'!F$137-'I2 CBA Inputs'!F139,0)+IF(Scenario_Select="Scenario 4",'I2 CBA Inputs'!F$146-'I2 CBA Inputs'!F148,0)),0)</f>
        <v>0</v>
      </c>
      <c r="H106" s="18">
        <f>IFERROR('I1 General Inputs'!$A16*(IF(Scenario_Select="Scenario 1",'I2 CBA Inputs'!G$119-'I2 CBA Inputs'!G121,0)+IF(Scenario_Select="Scenario 2",'I2 CBA Inputs'!G$128-'I2 CBA Inputs'!G130,0)+IF(Scenario_Select="Scenario 3",'I2 CBA Inputs'!G$137-'I2 CBA Inputs'!G139,0)+IF(Scenario_Select="Scenario 4",'I2 CBA Inputs'!G$146-'I2 CBA Inputs'!G148,0)),0)</f>
        <v>-42.655452728271484</v>
      </c>
      <c r="I106" s="18">
        <f>IFERROR('I1 General Inputs'!$A16*(IF(Scenario_Select="Scenario 1",'I2 CBA Inputs'!H$119-'I2 CBA Inputs'!H121,0)+IF(Scenario_Select="Scenario 2",'I2 CBA Inputs'!H$128-'I2 CBA Inputs'!H130,0)+IF(Scenario_Select="Scenario 3",'I2 CBA Inputs'!H$137-'I2 CBA Inputs'!H139,0)+IF(Scenario_Select="Scenario 4",'I2 CBA Inputs'!H$146-'I2 CBA Inputs'!H148,0)),0)</f>
        <v>32657.016387939453</v>
      </c>
      <c r="J106" s="18">
        <f>IFERROR('I1 General Inputs'!$A16*(IF(Scenario_Select="Scenario 1",'I2 CBA Inputs'!I$119-'I2 CBA Inputs'!I121,0)+IF(Scenario_Select="Scenario 2",'I2 CBA Inputs'!I$128-'I2 CBA Inputs'!I130,0)+IF(Scenario_Select="Scenario 3",'I2 CBA Inputs'!I$137-'I2 CBA Inputs'!I139,0)+IF(Scenario_Select="Scenario 4",'I2 CBA Inputs'!I$146-'I2 CBA Inputs'!I148,0)),0)</f>
        <v>5403419.8339943886</v>
      </c>
      <c r="K106" s="18">
        <f>IFERROR('I1 General Inputs'!$A16*(IF(Scenario_Select="Scenario 1",'I2 CBA Inputs'!J$119-'I2 CBA Inputs'!J121,0)+IF(Scenario_Select="Scenario 2",'I2 CBA Inputs'!J$128-'I2 CBA Inputs'!J130,0)+IF(Scenario_Select="Scenario 3",'I2 CBA Inputs'!J$137-'I2 CBA Inputs'!J139,0)+IF(Scenario_Select="Scenario 4",'I2 CBA Inputs'!J$146-'I2 CBA Inputs'!J148,0)),0)</f>
        <v>6721871.7216825485</v>
      </c>
      <c r="L106" s="18">
        <f>IFERROR('I1 General Inputs'!$A16*(IF(Scenario_Select="Scenario 1",'I2 CBA Inputs'!K$119-'I2 CBA Inputs'!K121,0)+IF(Scenario_Select="Scenario 2",'I2 CBA Inputs'!K$128-'I2 CBA Inputs'!K130,0)+IF(Scenario_Select="Scenario 3",'I2 CBA Inputs'!K$137-'I2 CBA Inputs'!K139,0)+IF(Scenario_Select="Scenario 4",'I2 CBA Inputs'!K$146-'I2 CBA Inputs'!K148,0)),0)</f>
        <v>7325806.2736606598</v>
      </c>
      <c r="M106" s="18">
        <f>IFERROR('I1 General Inputs'!$A16*(IF(Scenario_Select="Scenario 1",'I2 CBA Inputs'!L$119-'I2 CBA Inputs'!L121,0)+IF(Scenario_Select="Scenario 2",'I2 CBA Inputs'!L$128-'I2 CBA Inputs'!L130,0)+IF(Scenario_Select="Scenario 3",'I2 CBA Inputs'!L$137-'I2 CBA Inputs'!L139,0)+IF(Scenario_Select="Scenario 4",'I2 CBA Inputs'!L$146-'I2 CBA Inputs'!L148,0)),0)</f>
        <v>10232219.273202419</v>
      </c>
      <c r="N106" s="18">
        <f>IFERROR('I1 General Inputs'!$A16*(IF(Scenario_Select="Scenario 1",'I2 CBA Inputs'!M$119-'I2 CBA Inputs'!M121,0)+IF(Scenario_Select="Scenario 2",'I2 CBA Inputs'!M$128-'I2 CBA Inputs'!M130,0)+IF(Scenario_Select="Scenario 3",'I2 CBA Inputs'!M$137-'I2 CBA Inputs'!M139,0)+IF(Scenario_Select="Scenario 4",'I2 CBA Inputs'!M$146-'I2 CBA Inputs'!M148,0)),0)</f>
        <v>8730234.6493172646</v>
      </c>
      <c r="O106" s="18">
        <f>IFERROR('I1 General Inputs'!$A16*(IF(Scenario_Select="Scenario 1",'I2 CBA Inputs'!N$119-'I2 CBA Inputs'!N121,0)+IF(Scenario_Select="Scenario 2",'I2 CBA Inputs'!N$128-'I2 CBA Inputs'!N130,0)+IF(Scenario_Select="Scenario 3",'I2 CBA Inputs'!N$137-'I2 CBA Inputs'!N139,0)+IF(Scenario_Select="Scenario 4",'I2 CBA Inputs'!N$146-'I2 CBA Inputs'!N148,0)),0)</f>
        <v>8784143.3638348579</v>
      </c>
      <c r="P106" s="18">
        <f>IFERROR('I1 General Inputs'!$A16*(IF(Scenario_Select="Scenario 1",'I2 CBA Inputs'!O$119-'I2 CBA Inputs'!O121,0)+IF(Scenario_Select="Scenario 2",'I2 CBA Inputs'!O$128-'I2 CBA Inputs'!O130,0)+IF(Scenario_Select="Scenario 3",'I2 CBA Inputs'!O$137-'I2 CBA Inputs'!O139,0)+IF(Scenario_Select="Scenario 4",'I2 CBA Inputs'!O$146-'I2 CBA Inputs'!O148,0)),0)</f>
        <v>-1278704.5904526711</v>
      </c>
      <c r="Q106" s="18">
        <f>IFERROR('I1 General Inputs'!$A16*(IF(Scenario_Select="Scenario 1",'I2 CBA Inputs'!P$119-'I2 CBA Inputs'!P121,0)+IF(Scenario_Select="Scenario 2",'I2 CBA Inputs'!P$128-'I2 CBA Inputs'!P130,0)+IF(Scenario_Select="Scenario 3",'I2 CBA Inputs'!P$137-'I2 CBA Inputs'!P139,0)+IF(Scenario_Select="Scenario 4",'I2 CBA Inputs'!P$146-'I2 CBA Inputs'!P148,0)),0)</f>
        <v>-3540754.1635684967</v>
      </c>
      <c r="R106" s="18">
        <f>IFERROR('I1 General Inputs'!$A16*(IF(Scenario_Select="Scenario 1",'I2 CBA Inputs'!Q$119-'I2 CBA Inputs'!Q121,0)+IF(Scenario_Select="Scenario 2",'I2 CBA Inputs'!Q$128-'I2 CBA Inputs'!Q130,0)+IF(Scenario_Select="Scenario 3",'I2 CBA Inputs'!Q$137-'I2 CBA Inputs'!Q139,0)+IF(Scenario_Select="Scenario 4",'I2 CBA Inputs'!Q$146-'I2 CBA Inputs'!Q148,0)),0)</f>
        <v>-4697052.8110737801</v>
      </c>
      <c r="S106" s="18">
        <f>IFERROR('I1 General Inputs'!$A16*(IF(Scenario_Select="Scenario 1",'I2 CBA Inputs'!R$119-'I2 CBA Inputs'!R121,0)+IF(Scenario_Select="Scenario 2",'I2 CBA Inputs'!R$128-'I2 CBA Inputs'!R130,0)+IF(Scenario_Select="Scenario 3",'I2 CBA Inputs'!R$137-'I2 CBA Inputs'!R139,0)+IF(Scenario_Select="Scenario 4",'I2 CBA Inputs'!R$146-'I2 CBA Inputs'!R148,0)),0)</f>
        <v>1745916.2048258781</v>
      </c>
      <c r="T106" s="18">
        <f>IFERROR('I1 General Inputs'!$A16*(IF(Scenario_Select="Scenario 1",'I2 CBA Inputs'!S$119-'I2 CBA Inputs'!S121,0)+IF(Scenario_Select="Scenario 2",'I2 CBA Inputs'!S$128-'I2 CBA Inputs'!S130,0)+IF(Scenario_Select="Scenario 3",'I2 CBA Inputs'!S$137-'I2 CBA Inputs'!S139,0)+IF(Scenario_Select="Scenario 4",'I2 CBA Inputs'!S$146-'I2 CBA Inputs'!S148,0)),0)</f>
        <v>24219455.943639278</v>
      </c>
      <c r="U106" s="18">
        <f>IFERROR('I1 General Inputs'!$A16*(IF(Scenario_Select="Scenario 1",'I2 CBA Inputs'!T$119-'I2 CBA Inputs'!T121,0)+IF(Scenario_Select="Scenario 2",'I2 CBA Inputs'!T$128-'I2 CBA Inputs'!T130,0)+IF(Scenario_Select="Scenario 3",'I2 CBA Inputs'!T$137-'I2 CBA Inputs'!T139,0)+IF(Scenario_Select="Scenario 4",'I2 CBA Inputs'!T$146-'I2 CBA Inputs'!T148,0)),0)</f>
        <v>1902029.9083366394</v>
      </c>
      <c r="V106" s="18">
        <f>IFERROR('I1 General Inputs'!$A16*(IF(Scenario_Select="Scenario 1",'I2 CBA Inputs'!U$119-'I2 CBA Inputs'!U121,0)+IF(Scenario_Select="Scenario 2",'I2 CBA Inputs'!U$128-'I2 CBA Inputs'!U130,0)+IF(Scenario_Select="Scenario 3",'I2 CBA Inputs'!U$137-'I2 CBA Inputs'!U139,0)+IF(Scenario_Select="Scenario 4",'I2 CBA Inputs'!U$146-'I2 CBA Inputs'!U148,0)),0)</f>
        <v>-1377727.2952342033</v>
      </c>
      <c r="W106" s="18">
        <f>IFERROR('I1 General Inputs'!$A16*(IF(Scenario_Select="Scenario 1",'I2 CBA Inputs'!V$119-'I2 CBA Inputs'!V121,0)+IF(Scenario_Select="Scenario 2",'I2 CBA Inputs'!V$128-'I2 CBA Inputs'!V130,0)+IF(Scenario_Select="Scenario 3",'I2 CBA Inputs'!V$137-'I2 CBA Inputs'!V139,0)+IF(Scenario_Select="Scenario 4",'I2 CBA Inputs'!V$146-'I2 CBA Inputs'!V148,0)),0)</f>
        <v>2143608.987965107</v>
      </c>
      <c r="X106" s="18">
        <f>IFERROR('I1 General Inputs'!$A16*(IF(Scenario_Select="Scenario 1",'I2 CBA Inputs'!W$119-'I2 CBA Inputs'!W121,0)+IF(Scenario_Select="Scenario 2",'I2 CBA Inputs'!W$128-'I2 CBA Inputs'!W130,0)+IF(Scenario_Select="Scenario 3",'I2 CBA Inputs'!W$137-'I2 CBA Inputs'!W139,0)+IF(Scenario_Select="Scenario 4",'I2 CBA Inputs'!W$146-'I2 CBA Inputs'!W148,0)),0)</f>
        <v>13388199.868536472</v>
      </c>
      <c r="Y106" s="18">
        <f>IFERROR('I1 General Inputs'!$A16*(IF(Scenario_Select="Scenario 1",'I2 CBA Inputs'!X$119-'I2 CBA Inputs'!X121,0)+IF(Scenario_Select="Scenario 2",'I2 CBA Inputs'!X$128-'I2 CBA Inputs'!X130,0)+IF(Scenario_Select="Scenario 3",'I2 CBA Inputs'!X$137-'I2 CBA Inputs'!X139,0)+IF(Scenario_Select="Scenario 4",'I2 CBA Inputs'!X$146-'I2 CBA Inputs'!X148,0)),0)</f>
        <v>13579088.45983696</v>
      </c>
      <c r="Z106" s="18">
        <f>IFERROR('I1 General Inputs'!$A16*(IF(Scenario_Select="Scenario 1",'I2 CBA Inputs'!Y$119-'I2 CBA Inputs'!Y121,0)+IF(Scenario_Select="Scenario 2",'I2 CBA Inputs'!Y$128-'I2 CBA Inputs'!Y130,0)+IF(Scenario_Select="Scenario 3",'I2 CBA Inputs'!Y$137-'I2 CBA Inputs'!Y139,0)+IF(Scenario_Select="Scenario 4",'I2 CBA Inputs'!Y$146-'I2 CBA Inputs'!Y148,0)),0)</f>
        <v>7834064.7198495865</v>
      </c>
      <c r="AA106" s="18">
        <f>IFERROR('I1 General Inputs'!$A16*(IF(Scenario_Select="Scenario 1",'I2 CBA Inputs'!Z$119-'I2 CBA Inputs'!Z121,0)+IF(Scenario_Select="Scenario 2",'I2 CBA Inputs'!Z$128-'I2 CBA Inputs'!Z130,0)+IF(Scenario_Select="Scenario 3",'I2 CBA Inputs'!Z$137-'I2 CBA Inputs'!Z139,0)+IF(Scenario_Select="Scenario 4",'I2 CBA Inputs'!Z$146-'I2 CBA Inputs'!Z148,0)),0)</f>
        <v>16548085.230514526</v>
      </c>
      <c r="AB106" s="18">
        <f>IFERROR('I1 General Inputs'!$A16*(IF(Scenario_Select="Scenario 1",'I2 CBA Inputs'!AA$119-'I2 CBA Inputs'!AA121,0)+IF(Scenario_Select="Scenario 2",'I2 CBA Inputs'!AA$128-'I2 CBA Inputs'!AA130,0)+IF(Scenario_Select="Scenario 3",'I2 CBA Inputs'!AA$137-'I2 CBA Inputs'!AA139,0)+IF(Scenario_Select="Scenario 4",'I2 CBA Inputs'!AA$146-'I2 CBA Inputs'!AA148,0)),0)</f>
        <v>17585283.556589127</v>
      </c>
      <c r="AC106" s="18">
        <f>IFERROR('I1 General Inputs'!$A16*(IF(Scenario_Select="Scenario 1",'I2 CBA Inputs'!AB$119-'I2 CBA Inputs'!AB121,0)+IF(Scenario_Select="Scenario 2",'I2 CBA Inputs'!AB$128-'I2 CBA Inputs'!AB130,0)+IF(Scenario_Select="Scenario 3",'I2 CBA Inputs'!AB$137-'I2 CBA Inputs'!AB139,0)+IF(Scenario_Select="Scenario 4",'I2 CBA Inputs'!AB$146-'I2 CBA Inputs'!AB148,0)),0)</f>
        <v>10544649.74869442</v>
      </c>
      <c r="AD106" s="18">
        <f>IFERROR('I1 General Inputs'!$A16*(IF(Scenario_Select="Scenario 1",'I2 CBA Inputs'!AC$119-'I2 CBA Inputs'!AC121,0)+IF(Scenario_Select="Scenario 2",'I2 CBA Inputs'!AC$128-'I2 CBA Inputs'!AC130,0)+IF(Scenario_Select="Scenario 3",'I2 CBA Inputs'!AC$137-'I2 CBA Inputs'!AC139,0)+IF(Scenario_Select="Scenario 4",'I2 CBA Inputs'!AC$146-'I2 CBA Inputs'!AC148,0)),0)</f>
        <v>8325397.2295255661</v>
      </c>
      <c r="AE106" s="18">
        <f>IFERROR('I1 General Inputs'!$A16*(IF(Scenario_Select="Scenario 1",'I2 CBA Inputs'!AD$119-'I2 CBA Inputs'!AD121,0)+IF(Scenario_Select="Scenario 2",'I2 CBA Inputs'!AD$128-'I2 CBA Inputs'!AD130,0)+IF(Scenario_Select="Scenario 3",'I2 CBA Inputs'!AD$137-'I2 CBA Inputs'!AD139,0)+IF(Scenario_Select="Scenario 4",'I2 CBA Inputs'!AD$146-'I2 CBA Inputs'!AD148,0)),0)</f>
        <v>48872542.515500546</v>
      </c>
      <c r="AF106" s="18">
        <f>'I1 General Inputs'!$A16*(IF(Scenario_Select="Scenario 1",'I2 CBA Inputs'!AE$119-'I2 CBA Inputs'!AE121,0)+IF(Scenario_Select="Scenario 2",'I2 CBA Inputs'!AE$128-'I2 CBA Inputs'!AE130,0)+IF(Scenario_Select="Scenario 3",'I2 CBA Inputs'!AE$137-'I2 CBA Inputs'!AE139,0)+IF(Scenario_Select="Scenario 4",'I2 CBA Inputs'!AE$146-'I2 CBA Inputs'!AE148,0))</f>
        <v>39849194.88317585</v>
      </c>
      <c r="AG106" s="18">
        <f>'I1 General Inputs'!$A16*(IF(Scenario_Select="Scenario 1",'I2 CBA Inputs'!AF$119-'I2 CBA Inputs'!AF121,0)+IF(Scenario_Select="Scenario 2",'I2 CBA Inputs'!AF$128-'I2 CBA Inputs'!AF130,0)+IF(Scenario_Select="Scenario 3",'I2 CBA Inputs'!AF$137-'I2 CBA Inputs'!AF139,0)+IF(Scenario_Select="Scenario 4",'I2 CBA Inputs'!AF$146-'I2 CBA Inputs'!AF148,0))</f>
        <v>0</v>
      </c>
      <c r="AH106" s="18">
        <f>'I1 General Inputs'!$A16*(IF(Scenario_Select="Scenario 1",'I2 CBA Inputs'!AG$119-'I2 CBA Inputs'!AG121,0)+IF(Scenario_Select="Scenario 2",'I2 CBA Inputs'!AG$128-'I2 CBA Inputs'!AG130,0)+IF(Scenario_Select="Scenario 3",'I2 CBA Inputs'!AG$137-'I2 CBA Inputs'!AG139,0)+IF(Scenario_Select="Scenario 4",'I2 CBA Inputs'!AG$146-'I2 CBA Inputs'!AG148,0))</f>
        <v>0</v>
      </c>
      <c r="AI106" s="18">
        <f>'I1 General Inputs'!$A16*(IF(Scenario_Select="Scenario 1",'I2 CBA Inputs'!AH$119-'I2 CBA Inputs'!AH121,0)+IF(Scenario_Select="Scenario 2",'I2 CBA Inputs'!AH$128-'I2 CBA Inputs'!AH130,0)+IF(Scenario_Select="Scenario 3",'I2 CBA Inputs'!AH$137-'I2 CBA Inputs'!AH139,0)+IF(Scenario_Select="Scenario 4",'I2 CBA Inputs'!AH$146-'I2 CBA Inputs'!AH148,0))</f>
        <v>0</v>
      </c>
      <c r="AJ106" s="18">
        <f>'I1 General Inputs'!$A16*(IF(Scenario_Select="Scenario 1",'I2 CBA Inputs'!AI$119-'I2 CBA Inputs'!AI121,0)+IF(Scenario_Select="Scenario 2",'I2 CBA Inputs'!AI$128-'I2 CBA Inputs'!AI130,0)+IF(Scenario_Select="Scenario 3",'I2 CBA Inputs'!AI$137-'I2 CBA Inputs'!AI139,0)+IF(Scenario_Select="Scenario 4",'I2 CBA Inputs'!AI$146-'I2 CBA Inputs'!AI148,0))</f>
        <v>0</v>
      </c>
    </row>
    <row r="107" spans="2:36" x14ac:dyDescent="0.2">
      <c r="B107" s="9">
        <f>+'I1 General Inputs'!$B$17</f>
        <v>3</v>
      </c>
      <c r="C107" s="15" t="str">
        <f>+'I1 General Inputs'!$C$17</f>
        <v>Option 1C</v>
      </c>
      <c r="D107" s="28"/>
      <c r="E107" s="13" t="s">
        <v>35</v>
      </c>
      <c r="F107" s="19">
        <f t="shared" si="29"/>
        <v>-21035460.487039506</v>
      </c>
      <c r="G107" s="18">
        <f>IFERROR('I1 General Inputs'!$A17*(IF(Scenario_Select="Scenario 1",'I2 CBA Inputs'!F$119-'I2 CBA Inputs'!F122,0)+IF(Scenario_Select="Scenario 2",'I2 CBA Inputs'!F$128-'I2 CBA Inputs'!F131,0)+IF(Scenario_Select="Scenario 3",'I2 CBA Inputs'!F$137-'I2 CBA Inputs'!F140,0)+IF(Scenario_Select="Scenario 4",'I2 CBA Inputs'!F$146-'I2 CBA Inputs'!F149,0)),0)</f>
        <v>0</v>
      </c>
      <c r="H107" s="18">
        <f>IFERROR('I1 General Inputs'!$A17*(IF(Scenario_Select="Scenario 1",'I2 CBA Inputs'!G$119-'I2 CBA Inputs'!G122,0)+IF(Scenario_Select="Scenario 2",'I2 CBA Inputs'!G$128-'I2 CBA Inputs'!G131,0)+IF(Scenario_Select="Scenario 3",'I2 CBA Inputs'!G$137-'I2 CBA Inputs'!G140,0)+IF(Scenario_Select="Scenario 4",'I2 CBA Inputs'!G$146-'I2 CBA Inputs'!G149,0)),0)</f>
        <v>-21.07426643371582</v>
      </c>
      <c r="I107" s="18">
        <f>IFERROR('I1 General Inputs'!$A17*(IF(Scenario_Select="Scenario 1",'I2 CBA Inputs'!H$119-'I2 CBA Inputs'!H122,0)+IF(Scenario_Select="Scenario 2",'I2 CBA Inputs'!H$128-'I2 CBA Inputs'!H131,0)+IF(Scenario_Select="Scenario 3",'I2 CBA Inputs'!H$137-'I2 CBA Inputs'!H140,0)+IF(Scenario_Select="Scenario 4",'I2 CBA Inputs'!H$146-'I2 CBA Inputs'!H149,0)),0)</f>
        <v>14426.111313343048</v>
      </c>
      <c r="J107" s="18">
        <f>IFERROR('I1 General Inputs'!$A17*(IF(Scenario_Select="Scenario 1",'I2 CBA Inputs'!I$119-'I2 CBA Inputs'!I122,0)+IF(Scenario_Select="Scenario 2",'I2 CBA Inputs'!I$128-'I2 CBA Inputs'!I131,0)+IF(Scenario_Select="Scenario 3",'I2 CBA Inputs'!I$137-'I2 CBA Inputs'!I140,0)+IF(Scenario_Select="Scenario 4",'I2 CBA Inputs'!I$146-'I2 CBA Inputs'!I149,0)),0)</f>
        <v>173009.88594484329</v>
      </c>
      <c r="K107" s="18">
        <f>IFERROR('I1 General Inputs'!$A17*(IF(Scenario_Select="Scenario 1",'I2 CBA Inputs'!J$119-'I2 CBA Inputs'!J122,0)+IF(Scenario_Select="Scenario 2",'I2 CBA Inputs'!J$128-'I2 CBA Inputs'!J131,0)+IF(Scenario_Select="Scenario 3",'I2 CBA Inputs'!J$137-'I2 CBA Inputs'!J140,0)+IF(Scenario_Select="Scenario 4",'I2 CBA Inputs'!J$146-'I2 CBA Inputs'!J149,0)),0)</f>
        <v>-113851.8720831871</v>
      </c>
      <c r="L107" s="18">
        <f>IFERROR('I1 General Inputs'!$A17*(IF(Scenario_Select="Scenario 1",'I2 CBA Inputs'!K$119-'I2 CBA Inputs'!K122,0)+IF(Scenario_Select="Scenario 2",'I2 CBA Inputs'!K$128-'I2 CBA Inputs'!K131,0)+IF(Scenario_Select="Scenario 3",'I2 CBA Inputs'!K$137-'I2 CBA Inputs'!K140,0)+IF(Scenario_Select="Scenario 4",'I2 CBA Inputs'!K$146-'I2 CBA Inputs'!K149,0)),0)</f>
        <v>-305459.56898355484</v>
      </c>
      <c r="M107" s="18">
        <f>IFERROR('I1 General Inputs'!$A17*(IF(Scenario_Select="Scenario 1",'I2 CBA Inputs'!L$119-'I2 CBA Inputs'!L122,0)+IF(Scenario_Select="Scenario 2",'I2 CBA Inputs'!L$128-'I2 CBA Inputs'!L131,0)+IF(Scenario_Select="Scenario 3",'I2 CBA Inputs'!L$137-'I2 CBA Inputs'!L140,0)+IF(Scenario_Select="Scenario 4",'I2 CBA Inputs'!L$146-'I2 CBA Inputs'!L149,0)),0)</f>
        <v>329069.30102205276</v>
      </c>
      <c r="N107" s="18">
        <f>IFERROR('I1 General Inputs'!$A17*(IF(Scenario_Select="Scenario 1",'I2 CBA Inputs'!M$119-'I2 CBA Inputs'!M122,0)+IF(Scenario_Select="Scenario 2",'I2 CBA Inputs'!M$128-'I2 CBA Inputs'!M131,0)+IF(Scenario_Select="Scenario 3",'I2 CBA Inputs'!M$137-'I2 CBA Inputs'!M140,0)+IF(Scenario_Select="Scenario 4",'I2 CBA Inputs'!M$146-'I2 CBA Inputs'!M149,0)),0)</f>
        <v>-1470896.9811911583</v>
      </c>
      <c r="O107" s="18">
        <f>IFERROR('I1 General Inputs'!$A17*(IF(Scenario_Select="Scenario 1",'I2 CBA Inputs'!N$119-'I2 CBA Inputs'!N122,0)+IF(Scenario_Select="Scenario 2",'I2 CBA Inputs'!N$128-'I2 CBA Inputs'!N131,0)+IF(Scenario_Select="Scenario 3",'I2 CBA Inputs'!N$137-'I2 CBA Inputs'!N140,0)+IF(Scenario_Select="Scenario 4",'I2 CBA Inputs'!N$146-'I2 CBA Inputs'!N149,0)),0)</f>
        <v>76446.291452884674</v>
      </c>
      <c r="P107" s="18">
        <f>IFERROR('I1 General Inputs'!$A17*(IF(Scenario_Select="Scenario 1",'I2 CBA Inputs'!O$119-'I2 CBA Inputs'!O122,0)+IF(Scenario_Select="Scenario 2",'I2 CBA Inputs'!O$128-'I2 CBA Inputs'!O131,0)+IF(Scenario_Select="Scenario 3",'I2 CBA Inputs'!O$137-'I2 CBA Inputs'!O140,0)+IF(Scenario_Select="Scenario 4",'I2 CBA Inputs'!O$146-'I2 CBA Inputs'!O149,0)),0)</f>
        <v>-2870707.2019276619</v>
      </c>
      <c r="Q107" s="18">
        <f>IFERROR('I1 General Inputs'!$A17*(IF(Scenario_Select="Scenario 1",'I2 CBA Inputs'!P$119-'I2 CBA Inputs'!P122,0)+IF(Scenario_Select="Scenario 2",'I2 CBA Inputs'!P$128-'I2 CBA Inputs'!P131,0)+IF(Scenario_Select="Scenario 3",'I2 CBA Inputs'!P$137-'I2 CBA Inputs'!P140,0)+IF(Scenario_Select="Scenario 4",'I2 CBA Inputs'!P$146-'I2 CBA Inputs'!P149,0)),0)</f>
        <v>-1521618.0451769829</v>
      </c>
      <c r="R107" s="18">
        <f>IFERROR('I1 General Inputs'!$A17*(IF(Scenario_Select="Scenario 1",'I2 CBA Inputs'!Q$119-'I2 CBA Inputs'!Q122,0)+IF(Scenario_Select="Scenario 2",'I2 CBA Inputs'!Q$128-'I2 CBA Inputs'!Q131,0)+IF(Scenario_Select="Scenario 3",'I2 CBA Inputs'!Q$137-'I2 CBA Inputs'!Q140,0)+IF(Scenario_Select="Scenario 4",'I2 CBA Inputs'!Q$146-'I2 CBA Inputs'!Q149,0)),0)</f>
        <v>-2564992.0025157928</v>
      </c>
      <c r="S107" s="18">
        <f>IFERROR('I1 General Inputs'!$A17*(IF(Scenario_Select="Scenario 1",'I2 CBA Inputs'!R$119-'I2 CBA Inputs'!R122,0)+IF(Scenario_Select="Scenario 2",'I2 CBA Inputs'!R$128-'I2 CBA Inputs'!R131,0)+IF(Scenario_Select="Scenario 3",'I2 CBA Inputs'!R$137-'I2 CBA Inputs'!R140,0)+IF(Scenario_Select="Scenario 4",'I2 CBA Inputs'!R$146-'I2 CBA Inputs'!R149,0)),0)</f>
        <v>-9913102.0632247925</v>
      </c>
      <c r="T107" s="18">
        <f>IFERROR('I1 General Inputs'!$A17*(IF(Scenario_Select="Scenario 1",'I2 CBA Inputs'!S$119-'I2 CBA Inputs'!S122,0)+IF(Scenario_Select="Scenario 2",'I2 CBA Inputs'!S$128-'I2 CBA Inputs'!S131,0)+IF(Scenario_Select="Scenario 3",'I2 CBA Inputs'!S$137-'I2 CBA Inputs'!S140,0)+IF(Scenario_Select="Scenario 4",'I2 CBA Inputs'!S$146-'I2 CBA Inputs'!S149,0)),0)</f>
        <v>-6527978.5016140938</v>
      </c>
      <c r="U107" s="18">
        <f>IFERROR('I1 General Inputs'!$A17*(IF(Scenario_Select="Scenario 1",'I2 CBA Inputs'!T$119-'I2 CBA Inputs'!T122,0)+IF(Scenario_Select="Scenario 2",'I2 CBA Inputs'!T$128-'I2 CBA Inputs'!T131,0)+IF(Scenario_Select="Scenario 3",'I2 CBA Inputs'!T$137-'I2 CBA Inputs'!T140,0)+IF(Scenario_Select="Scenario 4",'I2 CBA Inputs'!T$146-'I2 CBA Inputs'!T149,0)),0)</f>
        <v>3451036.1270151138</v>
      </c>
      <c r="V107" s="18">
        <f>IFERROR('I1 General Inputs'!$A17*(IF(Scenario_Select="Scenario 1",'I2 CBA Inputs'!U$119-'I2 CBA Inputs'!U122,0)+IF(Scenario_Select="Scenario 2",'I2 CBA Inputs'!U$128-'I2 CBA Inputs'!U131,0)+IF(Scenario_Select="Scenario 3",'I2 CBA Inputs'!U$137-'I2 CBA Inputs'!U140,0)+IF(Scenario_Select="Scenario 4",'I2 CBA Inputs'!U$146-'I2 CBA Inputs'!U149,0)),0)</f>
        <v>-16977018.492136478</v>
      </c>
      <c r="W107" s="18">
        <f>IFERROR('I1 General Inputs'!$A17*(IF(Scenario_Select="Scenario 1",'I2 CBA Inputs'!V$119-'I2 CBA Inputs'!V122,0)+IF(Scenario_Select="Scenario 2",'I2 CBA Inputs'!V$128-'I2 CBA Inputs'!V131,0)+IF(Scenario_Select="Scenario 3",'I2 CBA Inputs'!V$137-'I2 CBA Inputs'!V140,0)+IF(Scenario_Select="Scenario 4",'I2 CBA Inputs'!V$146-'I2 CBA Inputs'!V149,0)),0)</f>
        <v>-17030301.750495434</v>
      </c>
      <c r="X107" s="18">
        <f>IFERROR('I1 General Inputs'!$A17*(IF(Scenario_Select="Scenario 1",'I2 CBA Inputs'!W$119-'I2 CBA Inputs'!W122,0)+IF(Scenario_Select="Scenario 2",'I2 CBA Inputs'!W$128-'I2 CBA Inputs'!W131,0)+IF(Scenario_Select="Scenario 3",'I2 CBA Inputs'!W$137-'I2 CBA Inputs'!W140,0)+IF(Scenario_Select="Scenario 4",'I2 CBA Inputs'!W$146-'I2 CBA Inputs'!W149,0)),0)</f>
        <v>4095946.2852425575</v>
      </c>
      <c r="Y107" s="18">
        <f>IFERROR('I1 General Inputs'!$A17*(IF(Scenario_Select="Scenario 1",'I2 CBA Inputs'!X$119-'I2 CBA Inputs'!X122,0)+IF(Scenario_Select="Scenario 2",'I2 CBA Inputs'!X$128-'I2 CBA Inputs'!X131,0)+IF(Scenario_Select="Scenario 3",'I2 CBA Inputs'!X$137-'I2 CBA Inputs'!X140,0)+IF(Scenario_Select="Scenario 4",'I2 CBA Inputs'!X$146-'I2 CBA Inputs'!X149,0)),0)</f>
        <v>2047085.0370512009</v>
      </c>
      <c r="Z107" s="18">
        <f>IFERROR('I1 General Inputs'!$A17*(IF(Scenario_Select="Scenario 1",'I2 CBA Inputs'!Y$119-'I2 CBA Inputs'!Y122,0)+IF(Scenario_Select="Scenario 2",'I2 CBA Inputs'!Y$128-'I2 CBA Inputs'!Y131,0)+IF(Scenario_Select="Scenario 3",'I2 CBA Inputs'!Y$137-'I2 CBA Inputs'!Y140,0)+IF(Scenario_Select="Scenario 4",'I2 CBA Inputs'!Y$146-'I2 CBA Inputs'!Y149,0)),0)</f>
        <v>2308196.9206671715</v>
      </c>
      <c r="AA107" s="18">
        <f>IFERROR('I1 General Inputs'!$A17*(IF(Scenario_Select="Scenario 1",'I2 CBA Inputs'!Z$119-'I2 CBA Inputs'!Z122,0)+IF(Scenario_Select="Scenario 2",'I2 CBA Inputs'!Z$128-'I2 CBA Inputs'!Z131,0)+IF(Scenario_Select="Scenario 3",'I2 CBA Inputs'!Z$137-'I2 CBA Inputs'!Z140,0)+IF(Scenario_Select="Scenario 4",'I2 CBA Inputs'!Z$146-'I2 CBA Inputs'!Z149,0)),0)</f>
        <v>-15736029.929851532</v>
      </c>
      <c r="AB107" s="18">
        <f>IFERROR('I1 General Inputs'!$A17*(IF(Scenario_Select="Scenario 1",'I2 CBA Inputs'!AA$119-'I2 CBA Inputs'!AA122,0)+IF(Scenario_Select="Scenario 2",'I2 CBA Inputs'!AA$128-'I2 CBA Inputs'!AA131,0)+IF(Scenario_Select="Scenario 3",'I2 CBA Inputs'!AA$137-'I2 CBA Inputs'!AA140,0)+IF(Scenario_Select="Scenario 4",'I2 CBA Inputs'!AA$146-'I2 CBA Inputs'!AA149,0)),0)</f>
        <v>7808283.555079937</v>
      </c>
      <c r="AC107" s="18">
        <f>IFERROR('I1 General Inputs'!$A17*(IF(Scenario_Select="Scenario 1",'I2 CBA Inputs'!AB$119-'I2 CBA Inputs'!AB122,0)+IF(Scenario_Select="Scenario 2",'I2 CBA Inputs'!AB$128-'I2 CBA Inputs'!AB131,0)+IF(Scenario_Select="Scenario 3",'I2 CBA Inputs'!AB$137-'I2 CBA Inputs'!AB140,0)+IF(Scenario_Select="Scenario 4",'I2 CBA Inputs'!AB$146-'I2 CBA Inputs'!AB149,0)),0)</f>
        <v>953196.3931183815</v>
      </c>
      <c r="AD107" s="18">
        <f>IFERROR('I1 General Inputs'!$A17*(IF(Scenario_Select="Scenario 1",'I2 CBA Inputs'!AC$119-'I2 CBA Inputs'!AC122,0)+IF(Scenario_Select="Scenario 2",'I2 CBA Inputs'!AC$128-'I2 CBA Inputs'!AC131,0)+IF(Scenario_Select="Scenario 3",'I2 CBA Inputs'!AC$137-'I2 CBA Inputs'!AC140,0)+IF(Scenario_Select="Scenario 4",'I2 CBA Inputs'!AC$146-'I2 CBA Inputs'!AC149,0)),0)</f>
        <v>-6171942.0215678215</v>
      </c>
      <c r="AE107" s="18">
        <f>IFERROR('I1 General Inputs'!$A17*(IF(Scenario_Select="Scenario 1",'I2 CBA Inputs'!AD$119-'I2 CBA Inputs'!AD122,0)+IF(Scenario_Select="Scenario 2",'I2 CBA Inputs'!AD$128-'I2 CBA Inputs'!AD131,0)+IF(Scenario_Select="Scenario 3",'I2 CBA Inputs'!AD$137-'I2 CBA Inputs'!AD140,0)+IF(Scenario_Select="Scenario 4",'I2 CBA Inputs'!AD$146-'I2 CBA Inputs'!AD149,0)),0)</f>
        <v>10154046.679755211</v>
      </c>
      <c r="AF107" s="18">
        <f>'I1 General Inputs'!$A17*(IF(Scenario_Select="Scenario 1",'I2 CBA Inputs'!AE$119-'I2 CBA Inputs'!AE122,0)+IF(Scenario_Select="Scenario 2",'I2 CBA Inputs'!AE$128-'I2 CBA Inputs'!AE131,0)+IF(Scenario_Select="Scenario 3",'I2 CBA Inputs'!AE$137-'I2 CBA Inputs'!AE140,0)+IF(Scenario_Select="Scenario 4",'I2 CBA Inputs'!AE$146-'I2 CBA Inputs'!AE149,0))</f>
        <v>11368414.09432888</v>
      </c>
      <c r="AG107" s="18">
        <f>'I1 General Inputs'!$A17*(IF(Scenario_Select="Scenario 1",'I2 CBA Inputs'!AF$119-'I2 CBA Inputs'!AF122,0)+IF(Scenario_Select="Scenario 2",'I2 CBA Inputs'!AF$128-'I2 CBA Inputs'!AF131,0)+IF(Scenario_Select="Scenario 3",'I2 CBA Inputs'!AF$137-'I2 CBA Inputs'!AF140,0)+IF(Scenario_Select="Scenario 4",'I2 CBA Inputs'!AF$146-'I2 CBA Inputs'!AF149,0))</f>
        <v>0</v>
      </c>
      <c r="AH107" s="18">
        <f>'I1 General Inputs'!$A17*(IF(Scenario_Select="Scenario 1",'I2 CBA Inputs'!AG$119-'I2 CBA Inputs'!AG122,0)+IF(Scenario_Select="Scenario 2",'I2 CBA Inputs'!AG$128-'I2 CBA Inputs'!AG131,0)+IF(Scenario_Select="Scenario 3",'I2 CBA Inputs'!AG$137-'I2 CBA Inputs'!AG140,0)+IF(Scenario_Select="Scenario 4",'I2 CBA Inputs'!AG$146-'I2 CBA Inputs'!AG149,0))</f>
        <v>0</v>
      </c>
      <c r="AI107" s="18">
        <f>'I1 General Inputs'!$A17*(IF(Scenario_Select="Scenario 1",'I2 CBA Inputs'!AH$119-'I2 CBA Inputs'!AH122,0)+IF(Scenario_Select="Scenario 2",'I2 CBA Inputs'!AH$128-'I2 CBA Inputs'!AH131,0)+IF(Scenario_Select="Scenario 3",'I2 CBA Inputs'!AH$137-'I2 CBA Inputs'!AH140,0)+IF(Scenario_Select="Scenario 4",'I2 CBA Inputs'!AH$146-'I2 CBA Inputs'!AH149,0))</f>
        <v>0</v>
      </c>
      <c r="AJ107" s="18">
        <f>'I1 General Inputs'!$A17*(IF(Scenario_Select="Scenario 1",'I2 CBA Inputs'!AI$119-'I2 CBA Inputs'!AI122,0)+IF(Scenario_Select="Scenario 2",'I2 CBA Inputs'!AI$128-'I2 CBA Inputs'!AI131,0)+IF(Scenario_Select="Scenario 3",'I2 CBA Inputs'!AI$137-'I2 CBA Inputs'!AI140,0)+IF(Scenario_Select="Scenario 4",'I2 CBA Inputs'!AI$146-'I2 CBA Inputs'!AI149,0))</f>
        <v>0</v>
      </c>
    </row>
    <row r="108" spans="2:36" x14ac:dyDescent="0.2">
      <c r="B108" s="9">
        <f>+'I1 General Inputs'!$B$18</f>
        <v>4</v>
      </c>
      <c r="C108" s="15" t="str">
        <f>+'I1 General Inputs'!$C$18</f>
        <v>Option 1D</v>
      </c>
      <c r="D108" s="28"/>
      <c r="E108" s="13" t="s">
        <v>35</v>
      </c>
      <c r="F108" s="19">
        <f t="shared" si="29"/>
        <v>-6287245.0419739988</v>
      </c>
      <c r="G108" s="18">
        <f>IFERROR('I1 General Inputs'!$A18*(IF(Scenario_Select="Scenario 1",'I2 CBA Inputs'!F$119-'I2 CBA Inputs'!F123,0)+IF(Scenario_Select="Scenario 2",'I2 CBA Inputs'!F$128-'I2 CBA Inputs'!F132,0)+IF(Scenario_Select="Scenario 3",'I2 CBA Inputs'!F$137-'I2 CBA Inputs'!F141,0)+IF(Scenario_Select="Scenario 4",'I2 CBA Inputs'!F$146-'I2 CBA Inputs'!F150,0)),0)</f>
        <v>0</v>
      </c>
      <c r="H108" s="18">
        <f>IFERROR('I1 General Inputs'!$A18*(IF(Scenario_Select="Scenario 1",'I2 CBA Inputs'!G$119-'I2 CBA Inputs'!G123,0)+IF(Scenario_Select="Scenario 2",'I2 CBA Inputs'!G$128-'I2 CBA Inputs'!G132,0)+IF(Scenario_Select="Scenario 3",'I2 CBA Inputs'!G$137-'I2 CBA Inputs'!G141,0)+IF(Scenario_Select="Scenario 4",'I2 CBA Inputs'!G$146-'I2 CBA Inputs'!G150,0)),0)</f>
        <v>-12.006427764892578</v>
      </c>
      <c r="I108" s="18">
        <f>IFERROR('I1 General Inputs'!$A18*(IF(Scenario_Select="Scenario 1",'I2 CBA Inputs'!H$119-'I2 CBA Inputs'!H123,0)+IF(Scenario_Select="Scenario 2",'I2 CBA Inputs'!H$128-'I2 CBA Inputs'!H132,0)+IF(Scenario_Select="Scenario 3",'I2 CBA Inputs'!H$137-'I2 CBA Inputs'!H141,0)+IF(Scenario_Select="Scenario 4",'I2 CBA Inputs'!H$146-'I2 CBA Inputs'!H150,0)),0)</f>
        <v>11885.362487792969</v>
      </c>
      <c r="J108" s="18">
        <f>IFERROR('I1 General Inputs'!$A18*(IF(Scenario_Select="Scenario 1",'I2 CBA Inputs'!I$119-'I2 CBA Inputs'!I123,0)+IF(Scenario_Select="Scenario 2",'I2 CBA Inputs'!I$128-'I2 CBA Inputs'!I132,0)+IF(Scenario_Select="Scenario 3",'I2 CBA Inputs'!I$137-'I2 CBA Inputs'!I141,0)+IF(Scenario_Select="Scenario 4",'I2 CBA Inputs'!I$146-'I2 CBA Inputs'!I150,0)),0)</f>
        <v>77390.766260623932</v>
      </c>
      <c r="K108" s="18">
        <f>IFERROR('I1 General Inputs'!$A18*(IF(Scenario_Select="Scenario 1",'I2 CBA Inputs'!J$119-'I2 CBA Inputs'!J123,0)+IF(Scenario_Select="Scenario 2",'I2 CBA Inputs'!J$128-'I2 CBA Inputs'!J132,0)+IF(Scenario_Select="Scenario 3",'I2 CBA Inputs'!J$137-'I2 CBA Inputs'!J141,0)+IF(Scenario_Select="Scenario 4",'I2 CBA Inputs'!J$146-'I2 CBA Inputs'!J150,0)),0)</f>
        <v>-302594.91633987427</v>
      </c>
      <c r="L108" s="18">
        <f>IFERROR('I1 General Inputs'!$A18*(IF(Scenario_Select="Scenario 1",'I2 CBA Inputs'!K$119-'I2 CBA Inputs'!K123,0)+IF(Scenario_Select="Scenario 2",'I2 CBA Inputs'!K$128-'I2 CBA Inputs'!K132,0)+IF(Scenario_Select="Scenario 3",'I2 CBA Inputs'!K$137-'I2 CBA Inputs'!K141,0)+IF(Scenario_Select="Scenario 4",'I2 CBA Inputs'!K$146-'I2 CBA Inputs'!K150,0)),0)</f>
        <v>-570165.5361661911</v>
      </c>
      <c r="M108" s="18">
        <f>IFERROR('I1 General Inputs'!$A18*(IF(Scenario_Select="Scenario 1",'I2 CBA Inputs'!L$119-'I2 CBA Inputs'!L123,0)+IF(Scenario_Select="Scenario 2",'I2 CBA Inputs'!L$128-'I2 CBA Inputs'!L132,0)+IF(Scenario_Select="Scenario 3",'I2 CBA Inputs'!L$137-'I2 CBA Inputs'!L141,0)+IF(Scenario_Select="Scenario 4",'I2 CBA Inputs'!L$146-'I2 CBA Inputs'!L150,0)),0)</f>
        <v>-78185.846200942993</v>
      </c>
      <c r="N108" s="18">
        <f>IFERROR('I1 General Inputs'!$A18*(IF(Scenario_Select="Scenario 1",'I2 CBA Inputs'!M$119-'I2 CBA Inputs'!M123,0)+IF(Scenario_Select="Scenario 2",'I2 CBA Inputs'!M$128-'I2 CBA Inputs'!M132,0)+IF(Scenario_Select="Scenario 3",'I2 CBA Inputs'!M$137-'I2 CBA Inputs'!M141,0)+IF(Scenario_Select="Scenario 4",'I2 CBA Inputs'!M$146-'I2 CBA Inputs'!M150,0)),0)</f>
        <v>-1366855.8432583809</v>
      </c>
      <c r="O108" s="18">
        <f>IFERROR('I1 General Inputs'!$A18*(IF(Scenario_Select="Scenario 1",'I2 CBA Inputs'!N$119-'I2 CBA Inputs'!N123,0)+IF(Scenario_Select="Scenario 2",'I2 CBA Inputs'!N$128-'I2 CBA Inputs'!N132,0)+IF(Scenario_Select="Scenario 3",'I2 CBA Inputs'!N$137-'I2 CBA Inputs'!N141,0)+IF(Scenario_Select="Scenario 4",'I2 CBA Inputs'!N$146-'I2 CBA Inputs'!N150,0)),0)</f>
        <v>-128137.27667093277</v>
      </c>
      <c r="P108" s="18">
        <f>IFERROR('I1 General Inputs'!$A18*(IF(Scenario_Select="Scenario 1",'I2 CBA Inputs'!O$119-'I2 CBA Inputs'!O123,0)+IF(Scenario_Select="Scenario 2",'I2 CBA Inputs'!O$128-'I2 CBA Inputs'!O132,0)+IF(Scenario_Select="Scenario 3",'I2 CBA Inputs'!O$137-'I2 CBA Inputs'!O141,0)+IF(Scenario_Select="Scenario 4",'I2 CBA Inputs'!O$146-'I2 CBA Inputs'!O150,0)),0)</f>
        <v>-3022435.4624419212</v>
      </c>
      <c r="Q108" s="18">
        <f>IFERROR('I1 General Inputs'!$A18*(IF(Scenario_Select="Scenario 1",'I2 CBA Inputs'!P$119-'I2 CBA Inputs'!P123,0)+IF(Scenario_Select="Scenario 2",'I2 CBA Inputs'!P$128-'I2 CBA Inputs'!P132,0)+IF(Scenario_Select="Scenario 3",'I2 CBA Inputs'!P$137-'I2 CBA Inputs'!P141,0)+IF(Scenario_Select="Scenario 4",'I2 CBA Inputs'!P$146-'I2 CBA Inputs'!P150,0)),0)</f>
        <v>-50945.290295124054</v>
      </c>
      <c r="R108" s="18">
        <f>IFERROR('I1 General Inputs'!$A18*(IF(Scenario_Select="Scenario 1",'I2 CBA Inputs'!Q$119-'I2 CBA Inputs'!Q123,0)+IF(Scenario_Select="Scenario 2",'I2 CBA Inputs'!Q$128-'I2 CBA Inputs'!Q132,0)+IF(Scenario_Select="Scenario 3",'I2 CBA Inputs'!Q$137-'I2 CBA Inputs'!Q141,0)+IF(Scenario_Select="Scenario 4",'I2 CBA Inputs'!Q$146-'I2 CBA Inputs'!Q150,0)),0)</f>
        <v>-1156875.1440200806</v>
      </c>
      <c r="S108" s="18">
        <f>IFERROR('I1 General Inputs'!$A18*(IF(Scenario_Select="Scenario 1",'I2 CBA Inputs'!R$119-'I2 CBA Inputs'!R123,0)+IF(Scenario_Select="Scenario 2",'I2 CBA Inputs'!R$128-'I2 CBA Inputs'!R132,0)+IF(Scenario_Select="Scenario 3",'I2 CBA Inputs'!R$137-'I2 CBA Inputs'!R141,0)+IF(Scenario_Select="Scenario 4",'I2 CBA Inputs'!R$146-'I2 CBA Inputs'!R150,0)),0)</f>
        <v>-3737886.1251630783</v>
      </c>
      <c r="T108" s="18">
        <f>IFERROR('I1 General Inputs'!$A18*(IF(Scenario_Select="Scenario 1",'I2 CBA Inputs'!S$119-'I2 CBA Inputs'!S123,0)+IF(Scenario_Select="Scenario 2",'I2 CBA Inputs'!S$128-'I2 CBA Inputs'!S132,0)+IF(Scenario_Select="Scenario 3",'I2 CBA Inputs'!S$137-'I2 CBA Inputs'!S141,0)+IF(Scenario_Select="Scenario 4",'I2 CBA Inputs'!S$146-'I2 CBA Inputs'!S150,0)),0)</f>
        <v>-3237957.5919356346</v>
      </c>
      <c r="U108" s="18">
        <f>IFERROR('I1 General Inputs'!$A18*(IF(Scenario_Select="Scenario 1",'I2 CBA Inputs'!T$119-'I2 CBA Inputs'!T123,0)+IF(Scenario_Select="Scenario 2",'I2 CBA Inputs'!T$128-'I2 CBA Inputs'!T132,0)+IF(Scenario_Select="Scenario 3",'I2 CBA Inputs'!T$137-'I2 CBA Inputs'!T141,0)+IF(Scenario_Select="Scenario 4",'I2 CBA Inputs'!T$146-'I2 CBA Inputs'!T150,0)),0)</f>
        <v>405294.42555713654</v>
      </c>
      <c r="V108" s="18">
        <f>IFERROR('I1 General Inputs'!$A18*(IF(Scenario_Select="Scenario 1",'I2 CBA Inputs'!U$119-'I2 CBA Inputs'!U123,0)+IF(Scenario_Select="Scenario 2",'I2 CBA Inputs'!U$128-'I2 CBA Inputs'!U132,0)+IF(Scenario_Select="Scenario 3",'I2 CBA Inputs'!U$137-'I2 CBA Inputs'!U141,0)+IF(Scenario_Select="Scenario 4",'I2 CBA Inputs'!U$146-'I2 CBA Inputs'!U150,0)),0)</f>
        <v>-2530089.2080450058</v>
      </c>
      <c r="W108" s="18">
        <f>IFERROR('I1 General Inputs'!$A18*(IF(Scenario_Select="Scenario 1",'I2 CBA Inputs'!V$119-'I2 CBA Inputs'!V123,0)+IF(Scenario_Select="Scenario 2",'I2 CBA Inputs'!V$128-'I2 CBA Inputs'!V132,0)+IF(Scenario_Select="Scenario 3",'I2 CBA Inputs'!V$137-'I2 CBA Inputs'!V141,0)+IF(Scenario_Select="Scenario 4",'I2 CBA Inputs'!V$146-'I2 CBA Inputs'!V150,0)),0)</f>
        <v>-8189279.7760939598</v>
      </c>
      <c r="X108" s="18">
        <f>IFERROR('I1 General Inputs'!$A18*(IF(Scenario_Select="Scenario 1",'I2 CBA Inputs'!W$119-'I2 CBA Inputs'!W123,0)+IF(Scenario_Select="Scenario 2",'I2 CBA Inputs'!W$128-'I2 CBA Inputs'!W132,0)+IF(Scenario_Select="Scenario 3",'I2 CBA Inputs'!W$137-'I2 CBA Inputs'!W141,0)+IF(Scenario_Select="Scenario 4",'I2 CBA Inputs'!W$146-'I2 CBA Inputs'!W150,0)),0)</f>
        <v>3801690.0067191124</v>
      </c>
      <c r="Y108" s="18">
        <f>IFERROR('I1 General Inputs'!$A18*(IF(Scenario_Select="Scenario 1",'I2 CBA Inputs'!X$119-'I2 CBA Inputs'!X123,0)+IF(Scenario_Select="Scenario 2",'I2 CBA Inputs'!X$128-'I2 CBA Inputs'!X132,0)+IF(Scenario_Select="Scenario 3",'I2 CBA Inputs'!X$137-'I2 CBA Inputs'!X141,0)+IF(Scenario_Select="Scenario 4",'I2 CBA Inputs'!X$146-'I2 CBA Inputs'!X150,0)),0)</f>
        <v>1248256.0725412369</v>
      </c>
      <c r="Z108" s="18">
        <f>IFERROR('I1 General Inputs'!$A18*(IF(Scenario_Select="Scenario 1",'I2 CBA Inputs'!Y$119-'I2 CBA Inputs'!Y123,0)+IF(Scenario_Select="Scenario 2",'I2 CBA Inputs'!Y$128-'I2 CBA Inputs'!Y132,0)+IF(Scenario_Select="Scenario 3",'I2 CBA Inputs'!Y$137-'I2 CBA Inputs'!Y141,0)+IF(Scenario_Select="Scenario 4",'I2 CBA Inputs'!Y$146-'I2 CBA Inputs'!Y150,0)),0)</f>
        <v>1051223.3870034218</v>
      </c>
      <c r="AA108" s="18">
        <f>IFERROR('I1 General Inputs'!$A18*(IF(Scenario_Select="Scenario 1",'I2 CBA Inputs'!Z$119-'I2 CBA Inputs'!Z123,0)+IF(Scenario_Select="Scenario 2",'I2 CBA Inputs'!Z$128-'I2 CBA Inputs'!Z132,0)+IF(Scenario_Select="Scenario 3",'I2 CBA Inputs'!Z$137-'I2 CBA Inputs'!Z141,0)+IF(Scenario_Select="Scenario 4",'I2 CBA Inputs'!Z$146-'I2 CBA Inputs'!Z150,0)),0)</f>
        <v>-7545031.5532522202</v>
      </c>
      <c r="AB108" s="18">
        <f>IFERROR('I1 General Inputs'!$A18*(IF(Scenario_Select="Scenario 1",'I2 CBA Inputs'!AA$119-'I2 CBA Inputs'!AA123,0)+IF(Scenario_Select="Scenario 2",'I2 CBA Inputs'!AA$128-'I2 CBA Inputs'!AA132,0)+IF(Scenario_Select="Scenario 3",'I2 CBA Inputs'!AA$137-'I2 CBA Inputs'!AA141,0)+IF(Scenario_Select="Scenario 4",'I2 CBA Inputs'!AA$146-'I2 CBA Inputs'!AA150,0)),0)</f>
        <v>4217040.2908482552</v>
      </c>
      <c r="AC108" s="18">
        <f>IFERROR('I1 General Inputs'!$A18*(IF(Scenario_Select="Scenario 1",'I2 CBA Inputs'!AB$119-'I2 CBA Inputs'!AB123,0)+IF(Scenario_Select="Scenario 2",'I2 CBA Inputs'!AB$128-'I2 CBA Inputs'!AB132,0)+IF(Scenario_Select="Scenario 3",'I2 CBA Inputs'!AB$137-'I2 CBA Inputs'!AB141,0)+IF(Scenario_Select="Scenario 4",'I2 CBA Inputs'!AB$146-'I2 CBA Inputs'!AB150,0)),0)</f>
        <v>2511795.3017015457</v>
      </c>
      <c r="AD108" s="18">
        <f>IFERROR('I1 General Inputs'!$A18*(IF(Scenario_Select="Scenario 1",'I2 CBA Inputs'!AC$119-'I2 CBA Inputs'!AC123,0)+IF(Scenario_Select="Scenario 2",'I2 CBA Inputs'!AC$128-'I2 CBA Inputs'!AC132,0)+IF(Scenario_Select="Scenario 3",'I2 CBA Inputs'!AC$137-'I2 CBA Inputs'!AC141,0)+IF(Scenario_Select="Scenario 4",'I2 CBA Inputs'!AC$146-'I2 CBA Inputs'!AC150,0)),0)</f>
        <v>925249.05334234238</v>
      </c>
      <c r="AE108" s="18">
        <f>IFERROR('I1 General Inputs'!$A18*(IF(Scenario_Select="Scenario 1",'I2 CBA Inputs'!AD$119-'I2 CBA Inputs'!AD123,0)+IF(Scenario_Select="Scenario 2",'I2 CBA Inputs'!AD$128-'I2 CBA Inputs'!AD132,0)+IF(Scenario_Select="Scenario 3",'I2 CBA Inputs'!AD$137-'I2 CBA Inputs'!AD141,0)+IF(Scenario_Select="Scenario 4",'I2 CBA Inputs'!AD$146-'I2 CBA Inputs'!AD150,0)),0)</f>
        <v>5307758.3226156235</v>
      </c>
      <c r="AF108" s="18">
        <f>'I1 General Inputs'!$A18*(IF(Scenario_Select="Scenario 1",'I2 CBA Inputs'!AE$119-'I2 CBA Inputs'!AE123,0)+IF(Scenario_Select="Scenario 2",'I2 CBA Inputs'!AE$128-'I2 CBA Inputs'!AE132,0)+IF(Scenario_Select="Scenario 3",'I2 CBA Inputs'!AE$137-'I2 CBA Inputs'!AE141,0)+IF(Scenario_Select="Scenario 4",'I2 CBA Inputs'!AE$146-'I2 CBA Inputs'!AE150,0))</f>
        <v>8308715.2094597816</v>
      </c>
      <c r="AG108" s="18">
        <f>'I1 General Inputs'!$A18*(IF(Scenario_Select="Scenario 1",'I2 CBA Inputs'!AF$119-'I2 CBA Inputs'!AF123,0)+IF(Scenario_Select="Scenario 2",'I2 CBA Inputs'!AF$128-'I2 CBA Inputs'!AF132,0)+IF(Scenario_Select="Scenario 3",'I2 CBA Inputs'!AF$137-'I2 CBA Inputs'!AF141,0)+IF(Scenario_Select="Scenario 4",'I2 CBA Inputs'!AF$146-'I2 CBA Inputs'!AF150,0))</f>
        <v>0</v>
      </c>
      <c r="AH108" s="18">
        <f>'I1 General Inputs'!$A18*(IF(Scenario_Select="Scenario 1",'I2 CBA Inputs'!AG$119-'I2 CBA Inputs'!AG123,0)+IF(Scenario_Select="Scenario 2",'I2 CBA Inputs'!AG$128-'I2 CBA Inputs'!AG132,0)+IF(Scenario_Select="Scenario 3",'I2 CBA Inputs'!AG$137-'I2 CBA Inputs'!AG141,0)+IF(Scenario_Select="Scenario 4",'I2 CBA Inputs'!AG$146-'I2 CBA Inputs'!AG150,0))</f>
        <v>0</v>
      </c>
      <c r="AI108" s="18">
        <f>'I1 General Inputs'!$A18*(IF(Scenario_Select="Scenario 1",'I2 CBA Inputs'!AH$119-'I2 CBA Inputs'!AH123,0)+IF(Scenario_Select="Scenario 2",'I2 CBA Inputs'!AH$128-'I2 CBA Inputs'!AH132,0)+IF(Scenario_Select="Scenario 3",'I2 CBA Inputs'!AH$137-'I2 CBA Inputs'!AH141,0)+IF(Scenario_Select="Scenario 4",'I2 CBA Inputs'!AH$146-'I2 CBA Inputs'!AH150,0))</f>
        <v>0</v>
      </c>
      <c r="AJ108" s="18">
        <f>'I1 General Inputs'!$A18*(IF(Scenario_Select="Scenario 1",'I2 CBA Inputs'!AI$119-'I2 CBA Inputs'!AI123,0)+IF(Scenario_Select="Scenario 2",'I2 CBA Inputs'!AI$128-'I2 CBA Inputs'!AI132,0)+IF(Scenario_Select="Scenario 3",'I2 CBA Inputs'!AI$137-'I2 CBA Inputs'!AI141,0)+IF(Scenario_Select="Scenario 4",'I2 CBA Inputs'!AI$146-'I2 CBA Inputs'!AI150,0))</f>
        <v>0</v>
      </c>
    </row>
    <row r="109" spans="2:36" x14ac:dyDescent="0.2">
      <c r="B109" s="9">
        <f>+'I1 General Inputs'!$B$19</f>
        <v>5</v>
      </c>
      <c r="C109" s="15" t="str">
        <f>+'I1 General Inputs'!$C$19</f>
        <v>Option 5A</v>
      </c>
      <c r="D109" s="28"/>
      <c r="E109" s="13" t="s">
        <v>35</v>
      </c>
      <c r="F109" s="19">
        <f t="shared" si="29"/>
        <v>0</v>
      </c>
      <c r="G109" s="18">
        <f>IFERROR('I1 General Inputs'!$A19*(IF(Scenario_Select="Scenario 1",'I2 CBA Inputs'!F$119-'I2 CBA Inputs'!F124,0)+IF(Scenario_Select="Scenario 2",'I2 CBA Inputs'!F$128-'I2 CBA Inputs'!F133,0)+IF(Scenario_Select="Scenario 3",'I2 CBA Inputs'!F$137-'I2 CBA Inputs'!F142,0)+IF(Scenario_Select="Scenario 4",'I2 CBA Inputs'!F$146-'I2 CBA Inputs'!F151,0)),0)</f>
        <v>0</v>
      </c>
      <c r="H109" s="18">
        <f>IFERROR('I1 General Inputs'!$A19*(IF(Scenario_Select="Scenario 1",'I2 CBA Inputs'!G$119-'I2 CBA Inputs'!G124,0)+IF(Scenario_Select="Scenario 2",'I2 CBA Inputs'!G$128-'I2 CBA Inputs'!G133,0)+IF(Scenario_Select="Scenario 3",'I2 CBA Inputs'!G$137-'I2 CBA Inputs'!G142,0)+IF(Scenario_Select="Scenario 4",'I2 CBA Inputs'!G$146-'I2 CBA Inputs'!G151,0)),0)</f>
        <v>0</v>
      </c>
      <c r="I109" s="18">
        <f>IFERROR('I1 General Inputs'!$A19*(IF(Scenario_Select="Scenario 1",'I2 CBA Inputs'!H$119-'I2 CBA Inputs'!H124,0)+IF(Scenario_Select="Scenario 2",'I2 CBA Inputs'!H$128-'I2 CBA Inputs'!H133,0)+IF(Scenario_Select="Scenario 3",'I2 CBA Inputs'!H$137-'I2 CBA Inputs'!H142,0)+IF(Scenario_Select="Scenario 4",'I2 CBA Inputs'!H$146-'I2 CBA Inputs'!H151,0)),0)</f>
        <v>0</v>
      </c>
      <c r="J109" s="18">
        <f>IFERROR('I1 General Inputs'!$A19*(IF(Scenario_Select="Scenario 1",'I2 CBA Inputs'!I$119-'I2 CBA Inputs'!I124,0)+IF(Scenario_Select="Scenario 2",'I2 CBA Inputs'!I$128-'I2 CBA Inputs'!I133,0)+IF(Scenario_Select="Scenario 3",'I2 CBA Inputs'!I$137-'I2 CBA Inputs'!I142,0)+IF(Scenario_Select="Scenario 4",'I2 CBA Inputs'!I$146-'I2 CBA Inputs'!I151,0)),0)</f>
        <v>0</v>
      </c>
      <c r="K109" s="18">
        <f>IFERROR('I1 General Inputs'!$A19*(IF(Scenario_Select="Scenario 1",'I2 CBA Inputs'!J$119-'I2 CBA Inputs'!J124,0)+IF(Scenario_Select="Scenario 2",'I2 CBA Inputs'!J$128-'I2 CBA Inputs'!J133,0)+IF(Scenario_Select="Scenario 3",'I2 CBA Inputs'!J$137-'I2 CBA Inputs'!J142,0)+IF(Scenario_Select="Scenario 4",'I2 CBA Inputs'!J$146-'I2 CBA Inputs'!J151,0)),0)</f>
        <v>0</v>
      </c>
      <c r="L109" s="18">
        <f>IFERROR('I1 General Inputs'!$A19*(IF(Scenario_Select="Scenario 1",'I2 CBA Inputs'!K$119-'I2 CBA Inputs'!K124,0)+IF(Scenario_Select="Scenario 2",'I2 CBA Inputs'!K$128-'I2 CBA Inputs'!K133,0)+IF(Scenario_Select="Scenario 3",'I2 CBA Inputs'!K$137-'I2 CBA Inputs'!K142,0)+IF(Scenario_Select="Scenario 4",'I2 CBA Inputs'!K$146-'I2 CBA Inputs'!K151,0)),0)</f>
        <v>0</v>
      </c>
      <c r="M109" s="18">
        <f>IFERROR('I1 General Inputs'!$A19*(IF(Scenario_Select="Scenario 1",'I2 CBA Inputs'!L$119-'I2 CBA Inputs'!L124,0)+IF(Scenario_Select="Scenario 2",'I2 CBA Inputs'!L$128-'I2 CBA Inputs'!L133,0)+IF(Scenario_Select="Scenario 3",'I2 CBA Inputs'!L$137-'I2 CBA Inputs'!L142,0)+IF(Scenario_Select="Scenario 4",'I2 CBA Inputs'!L$146-'I2 CBA Inputs'!L151,0)),0)</f>
        <v>0</v>
      </c>
      <c r="N109" s="18">
        <f>IFERROR('I1 General Inputs'!$A19*(IF(Scenario_Select="Scenario 1",'I2 CBA Inputs'!M$119-'I2 CBA Inputs'!M124,0)+IF(Scenario_Select="Scenario 2",'I2 CBA Inputs'!M$128-'I2 CBA Inputs'!M133,0)+IF(Scenario_Select="Scenario 3",'I2 CBA Inputs'!M$137-'I2 CBA Inputs'!M142,0)+IF(Scenario_Select="Scenario 4",'I2 CBA Inputs'!M$146-'I2 CBA Inputs'!M151,0)),0)</f>
        <v>0</v>
      </c>
      <c r="O109" s="18">
        <f>IFERROR('I1 General Inputs'!$A19*(IF(Scenario_Select="Scenario 1",'I2 CBA Inputs'!N$119-'I2 CBA Inputs'!N124,0)+IF(Scenario_Select="Scenario 2",'I2 CBA Inputs'!N$128-'I2 CBA Inputs'!N133,0)+IF(Scenario_Select="Scenario 3",'I2 CBA Inputs'!N$137-'I2 CBA Inputs'!N142,0)+IF(Scenario_Select="Scenario 4",'I2 CBA Inputs'!N$146-'I2 CBA Inputs'!N151,0)),0)</f>
        <v>0</v>
      </c>
      <c r="P109" s="18">
        <f>IFERROR('I1 General Inputs'!$A19*(IF(Scenario_Select="Scenario 1",'I2 CBA Inputs'!O$119-'I2 CBA Inputs'!O124,0)+IF(Scenario_Select="Scenario 2",'I2 CBA Inputs'!O$128-'I2 CBA Inputs'!O133,0)+IF(Scenario_Select="Scenario 3",'I2 CBA Inputs'!O$137-'I2 CBA Inputs'!O142,0)+IF(Scenario_Select="Scenario 4",'I2 CBA Inputs'!O$146-'I2 CBA Inputs'!O151,0)),0)</f>
        <v>0</v>
      </c>
      <c r="Q109" s="18">
        <f>IFERROR('I1 General Inputs'!$A19*(IF(Scenario_Select="Scenario 1",'I2 CBA Inputs'!P$119-'I2 CBA Inputs'!P124,0)+IF(Scenario_Select="Scenario 2",'I2 CBA Inputs'!P$128-'I2 CBA Inputs'!P133,0)+IF(Scenario_Select="Scenario 3",'I2 CBA Inputs'!P$137-'I2 CBA Inputs'!P142,0)+IF(Scenario_Select="Scenario 4",'I2 CBA Inputs'!P$146-'I2 CBA Inputs'!P151,0)),0)</f>
        <v>0</v>
      </c>
      <c r="R109" s="18">
        <f>IFERROR('I1 General Inputs'!$A19*(IF(Scenario_Select="Scenario 1",'I2 CBA Inputs'!Q$119-'I2 CBA Inputs'!Q124,0)+IF(Scenario_Select="Scenario 2",'I2 CBA Inputs'!Q$128-'I2 CBA Inputs'!Q133,0)+IF(Scenario_Select="Scenario 3",'I2 CBA Inputs'!Q$137-'I2 CBA Inputs'!Q142,0)+IF(Scenario_Select="Scenario 4",'I2 CBA Inputs'!Q$146-'I2 CBA Inputs'!Q151,0)),0)</f>
        <v>0</v>
      </c>
      <c r="S109" s="18">
        <f>IFERROR('I1 General Inputs'!$A19*(IF(Scenario_Select="Scenario 1",'I2 CBA Inputs'!R$119-'I2 CBA Inputs'!R124,0)+IF(Scenario_Select="Scenario 2",'I2 CBA Inputs'!R$128-'I2 CBA Inputs'!R133,0)+IF(Scenario_Select="Scenario 3",'I2 CBA Inputs'!R$137-'I2 CBA Inputs'!R142,0)+IF(Scenario_Select="Scenario 4",'I2 CBA Inputs'!R$146-'I2 CBA Inputs'!R151,0)),0)</f>
        <v>0</v>
      </c>
      <c r="T109" s="18">
        <f>IFERROR('I1 General Inputs'!$A19*(IF(Scenario_Select="Scenario 1",'I2 CBA Inputs'!S$119-'I2 CBA Inputs'!S124,0)+IF(Scenario_Select="Scenario 2",'I2 CBA Inputs'!S$128-'I2 CBA Inputs'!S133,0)+IF(Scenario_Select="Scenario 3",'I2 CBA Inputs'!S$137-'I2 CBA Inputs'!S142,0)+IF(Scenario_Select="Scenario 4",'I2 CBA Inputs'!S$146-'I2 CBA Inputs'!S151,0)),0)</f>
        <v>0</v>
      </c>
      <c r="U109" s="18">
        <f>IFERROR('I1 General Inputs'!$A19*(IF(Scenario_Select="Scenario 1",'I2 CBA Inputs'!T$119-'I2 CBA Inputs'!T124,0)+IF(Scenario_Select="Scenario 2",'I2 CBA Inputs'!T$128-'I2 CBA Inputs'!T133,0)+IF(Scenario_Select="Scenario 3",'I2 CBA Inputs'!T$137-'I2 CBA Inputs'!T142,0)+IF(Scenario_Select="Scenario 4",'I2 CBA Inputs'!T$146-'I2 CBA Inputs'!T151,0)),0)</f>
        <v>0</v>
      </c>
      <c r="V109" s="18">
        <f>IFERROR('I1 General Inputs'!$A19*(IF(Scenario_Select="Scenario 1",'I2 CBA Inputs'!U$119-'I2 CBA Inputs'!U124,0)+IF(Scenario_Select="Scenario 2",'I2 CBA Inputs'!U$128-'I2 CBA Inputs'!U133,0)+IF(Scenario_Select="Scenario 3",'I2 CBA Inputs'!U$137-'I2 CBA Inputs'!U142,0)+IF(Scenario_Select="Scenario 4",'I2 CBA Inputs'!U$146-'I2 CBA Inputs'!U151,0)),0)</f>
        <v>0</v>
      </c>
      <c r="W109" s="18">
        <f>IFERROR('I1 General Inputs'!$A19*(IF(Scenario_Select="Scenario 1",'I2 CBA Inputs'!V$119-'I2 CBA Inputs'!V124,0)+IF(Scenario_Select="Scenario 2",'I2 CBA Inputs'!V$128-'I2 CBA Inputs'!V133,0)+IF(Scenario_Select="Scenario 3",'I2 CBA Inputs'!V$137-'I2 CBA Inputs'!V142,0)+IF(Scenario_Select="Scenario 4",'I2 CBA Inputs'!V$146-'I2 CBA Inputs'!V151,0)),0)</f>
        <v>0</v>
      </c>
      <c r="X109" s="18">
        <f>IFERROR('I1 General Inputs'!$A19*(IF(Scenario_Select="Scenario 1",'I2 CBA Inputs'!W$119-'I2 CBA Inputs'!W124,0)+IF(Scenario_Select="Scenario 2",'I2 CBA Inputs'!W$128-'I2 CBA Inputs'!W133,0)+IF(Scenario_Select="Scenario 3",'I2 CBA Inputs'!W$137-'I2 CBA Inputs'!W142,0)+IF(Scenario_Select="Scenario 4",'I2 CBA Inputs'!W$146-'I2 CBA Inputs'!W151,0)),0)</f>
        <v>0</v>
      </c>
      <c r="Y109" s="18">
        <f>IFERROR('I1 General Inputs'!$A19*(IF(Scenario_Select="Scenario 1",'I2 CBA Inputs'!X$119-'I2 CBA Inputs'!X124,0)+IF(Scenario_Select="Scenario 2",'I2 CBA Inputs'!X$128-'I2 CBA Inputs'!X133,0)+IF(Scenario_Select="Scenario 3",'I2 CBA Inputs'!X$137-'I2 CBA Inputs'!X142,0)+IF(Scenario_Select="Scenario 4",'I2 CBA Inputs'!X$146-'I2 CBA Inputs'!X151,0)),0)</f>
        <v>0</v>
      </c>
      <c r="Z109" s="18">
        <f>IFERROR('I1 General Inputs'!$A19*(IF(Scenario_Select="Scenario 1",'I2 CBA Inputs'!Y$119-'I2 CBA Inputs'!Y124,0)+IF(Scenario_Select="Scenario 2",'I2 CBA Inputs'!Y$128-'I2 CBA Inputs'!Y133,0)+IF(Scenario_Select="Scenario 3",'I2 CBA Inputs'!Y$137-'I2 CBA Inputs'!Y142,0)+IF(Scenario_Select="Scenario 4",'I2 CBA Inputs'!Y$146-'I2 CBA Inputs'!Y151,0)),0)</f>
        <v>0</v>
      </c>
      <c r="AA109" s="18">
        <f>IFERROR('I1 General Inputs'!$A19*(IF(Scenario_Select="Scenario 1",'I2 CBA Inputs'!Z$119-'I2 CBA Inputs'!Z124,0)+IF(Scenario_Select="Scenario 2",'I2 CBA Inputs'!Z$128-'I2 CBA Inputs'!Z133,0)+IF(Scenario_Select="Scenario 3",'I2 CBA Inputs'!Z$137-'I2 CBA Inputs'!Z142,0)+IF(Scenario_Select="Scenario 4",'I2 CBA Inputs'!Z$146-'I2 CBA Inputs'!Z151,0)),0)</f>
        <v>0</v>
      </c>
      <c r="AB109" s="18">
        <f>IFERROR('I1 General Inputs'!$A19*(IF(Scenario_Select="Scenario 1",'I2 CBA Inputs'!AA$119-'I2 CBA Inputs'!AA124,0)+IF(Scenario_Select="Scenario 2",'I2 CBA Inputs'!AA$128-'I2 CBA Inputs'!AA133,0)+IF(Scenario_Select="Scenario 3",'I2 CBA Inputs'!AA$137-'I2 CBA Inputs'!AA142,0)+IF(Scenario_Select="Scenario 4",'I2 CBA Inputs'!AA$146-'I2 CBA Inputs'!AA151,0)),0)</f>
        <v>0</v>
      </c>
      <c r="AC109" s="18">
        <f>IFERROR('I1 General Inputs'!$A19*(IF(Scenario_Select="Scenario 1",'I2 CBA Inputs'!AB$119-'I2 CBA Inputs'!AB124,0)+IF(Scenario_Select="Scenario 2",'I2 CBA Inputs'!AB$128-'I2 CBA Inputs'!AB133,0)+IF(Scenario_Select="Scenario 3",'I2 CBA Inputs'!AB$137-'I2 CBA Inputs'!AB142,0)+IF(Scenario_Select="Scenario 4",'I2 CBA Inputs'!AB$146-'I2 CBA Inputs'!AB151,0)),0)</f>
        <v>0</v>
      </c>
      <c r="AD109" s="18">
        <f>IFERROR('I1 General Inputs'!$A19*(IF(Scenario_Select="Scenario 1",'I2 CBA Inputs'!AC$119-'I2 CBA Inputs'!AC124,0)+IF(Scenario_Select="Scenario 2",'I2 CBA Inputs'!AC$128-'I2 CBA Inputs'!AC133,0)+IF(Scenario_Select="Scenario 3",'I2 CBA Inputs'!AC$137-'I2 CBA Inputs'!AC142,0)+IF(Scenario_Select="Scenario 4",'I2 CBA Inputs'!AC$146-'I2 CBA Inputs'!AC151,0)),0)</f>
        <v>0</v>
      </c>
      <c r="AE109" s="18">
        <f>IFERROR('I1 General Inputs'!$A19*(IF(Scenario_Select="Scenario 1",'I2 CBA Inputs'!AD$119-'I2 CBA Inputs'!AD124,0)+IF(Scenario_Select="Scenario 2",'I2 CBA Inputs'!AD$128-'I2 CBA Inputs'!AD133,0)+IF(Scenario_Select="Scenario 3",'I2 CBA Inputs'!AD$137-'I2 CBA Inputs'!AD142,0)+IF(Scenario_Select="Scenario 4",'I2 CBA Inputs'!AD$146-'I2 CBA Inputs'!AD151,0)),0)</f>
        <v>0</v>
      </c>
      <c r="AF109" s="18">
        <f>'I1 General Inputs'!$A19*(IF(Scenario_Select="Scenario 1",'I2 CBA Inputs'!AE$119-'I2 CBA Inputs'!AE124,0)+IF(Scenario_Select="Scenario 2",'I2 CBA Inputs'!AE$128-'I2 CBA Inputs'!AE133,0)+IF(Scenario_Select="Scenario 3",'I2 CBA Inputs'!AE$137-'I2 CBA Inputs'!AE142,0)+IF(Scenario_Select="Scenario 4",'I2 CBA Inputs'!AE$146-'I2 CBA Inputs'!AE151,0))</f>
        <v>0</v>
      </c>
      <c r="AG109" s="18">
        <f>'I1 General Inputs'!$A19*(IF(Scenario_Select="Scenario 1",'I2 CBA Inputs'!AF$119-'I2 CBA Inputs'!AF124,0)+IF(Scenario_Select="Scenario 2",'I2 CBA Inputs'!AF$128-'I2 CBA Inputs'!AF133,0)+IF(Scenario_Select="Scenario 3",'I2 CBA Inputs'!AF$137-'I2 CBA Inputs'!AF142,0)+IF(Scenario_Select="Scenario 4",'I2 CBA Inputs'!AF$146-'I2 CBA Inputs'!AF151,0))</f>
        <v>0</v>
      </c>
      <c r="AH109" s="18">
        <f>'I1 General Inputs'!$A19*(IF(Scenario_Select="Scenario 1",'I2 CBA Inputs'!AG$119-'I2 CBA Inputs'!AG124,0)+IF(Scenario_Select="Scenario 2",'I2 CBA Inputs'!AG$128-'I2 CBA Inputs'!AG133,0)+IF(Scenario_Select="Scenario 3",'I2 CBA Inputs'!AG$137-'I2 CBA Inputs'!AG142,0)+IF(Scenario_Select="Scenario 4",'I2 CBA Inputs'!AG$146-'I2 CBA Inputs'!AG151,0))</f>
        <v>0</v>
      </c>
      <c r="AI109" s="18">
        <f>'I1 General Inputs'!$A19*(IF(Scenario_Select="Scenario 1",'I2 CBA Inputs'!AH$119-'I2 CBA Inputs'!AH124,0)+IF(Scenario_Select="Scenario 2",'I2 CBA Inputs'!AH$128-'I2 CBA Inputs'!AH133,0)+IF(Scenario_Select="Scenario 3",'I2 CBA Inputs'!AH$137-'I2 CBA Inputs'!AH142,0)+IF(Scenario_Select="Scenario 4",'I2 CBA Inputs'!AH$146-'I2 CBA Inputs'!AH151,0))</f>
        <v>0</v>
      </c>
      <c r="AJ109" s="18">
        <f>'I1 General Inputs'!$A19*(IF(Scenario_Select="Scenario 1",'I2 CBA Inputs'!AI$119-'I2 CBA Inputs'!AI124,0)+IF(Scenario_Select="Scenario 2",'I2 CBA Inputs'!AI$128-'I2 CBA Inputs'!AI133,0)+IF(Scenario_Select="Scenario 3",'I2 CBA Inputs'!AI$137-'I2 CBA Inputs'!AI142,0)+IF(Scenario_Select="Scenario 4",'I2 CBA Inputs'!AI$146-'I2 CBA Inputs'!AI151,0))</f>
        <v>0</v>
      </c>
    </row>
    <row r="110" spans="2:36" x14ac:dyDescent="0.2">
      <c r="B110" s="9">
        <f>+'I1 General Inputs'!$B$20</f>
        <v>6</v>
      </c>
      <c r="C110" s="15" t="str">
        <f>+'I1 General Inputs'!$C$20</f>
        <v>Option 5B</v>
      </c>
      <c r="D110" s="28"/>
      <c r="E110" s="13" t="s">
        <v>35</v>
      </c>
      <c r="F110" s="19">
        <f t="shared" si="29"/>
        <v>39380467.443274513</v>
      </c>
      <c r="G110" s="18">
        <f>IFERROR('I1 General Inputs'!$A20*(IF(Scenario_Select="Scenario 1",'I2 CBA Inputs'!F$119-'I2 CBA Inputs'!F125,0)+IF(Scenario_Select="Scenario 2",'I2 CBA Inputs'!F$128-'I2 CBA Inputs'!F134,0)+IF(Scenario_Select="Scenario 3",'I2 CBA Inputs'!F$137-'I2 CBA Inputs'!F143,0)+IF(Scenario_Select="Scenario 4",'I2 CBA Inputs'!F$146-'I2 CBA Inputs'!F152,0)),0)</f>
        <v>0</v>
      </c>
      <c r="H110" s="18">
        <f>IFERROR('I1 General Inputs'!$A20*(IF(Scenario_Select="Scenario 1",'I2 CBA Inputs'!G$119-'I2 CBA Inputs'!G125,0)+IF(Scenario_Select="Scenario 2",'I2 CBA Inputs'!G$128-'I2 CBA Inputs'!G134,0)+IF(Scenario_Select="Scenario 3",'I2 CBA Inputs'!G$137-'I2 CBA Inputs'!G143,0)+IF(Scenario_Select="Scenario 4",'I2 CBA Inputs'!G$146-'I2 CBA Inputs'!G152,0)),0)</f>
        <v>3.7290506362915039</v>
      </c>
      <c r="I110" s="18">
        <f>IFERROR('I1 General Inputs'!$A20*(IF(Scenario_Select="Scenario 1",'I2 CBA Inputs'!H$119-'I2 CBA Inputs'!H125,0)+IF(Scenario_Select="Scenario 2",'I2 CBA Inputs'!H$128-'I2 CBA Inputs'!H134,0)+IF(Scenario_Select="Scenario 3",'I2 CBA Inputs'!H$137-'I2 CBA Inputs'!H143,0)+IF(Scenario_Select="Scenario 4",'I2 CBA Inputs'!H$146-'I2 CBA Inputs'!H152,0)),0)</f>
        <v>68801.924099445343</v>
      </c>
      <c r="J110" s="18">
        <f>IFERROR('I1 General Inputs'!$A20*(IF(Scenario_Select="Scenario 1",'I2 CBA Inputs'!I$119-'I2 CBA Inputs'!I125,0)+IF(Scenario_Select="Scenario 2",'I2 CBA Inputs'!I$128-'I2 CBA Inputs'!I134,0)+IF(Scenario_Select="Scenario 3",'I2 CBA Inputs'!I$137-'I2 CBA Inputs'!I143,0)+IF(Scenario_Select="Scenario 4",'I2 CBA Inputs'!I$146-'I2 CBA Inputs'!I152,0)),0)</f>
        <v>6962740.4585566521</v>
      </c>
      <c r="K110" s="18">
        <f>IFERROR('I1 General Inputs'!$A20*(IF(Scenario_Select="Scenario 1",'I2 CBA Inputs'!J$119-'I2 CBA Inputs'!J125,0)+IF(Scenario_Select="Scenario 2",'I2 CBA Inputs'!J$128-'I2 CBA Inputs'!J134,0)+IF(Scenario_Select="Scenario 3",'I2 CBA Inputs'!J$137-'I2 CBA Inputs'!J143,0)+IF(Scenario_Select="Scenario 4",'I2 CBA Inputs'!J$146-'I2 CBA Inputs'!J152,0)),0)</f>
        <v>8107129.6140408516</v>
      </c>
      <c r="L110" s="18">
        <f>IFERROR('I1 General Inputs'!$A20*(IF(Scenario_Select="Scenario 1",'I2 CBA Inputs'!K$119-'I2 CBA Inputs'!K125,0)+IF(Scenario_Select="Scenario 2",'I2 CBA Inputs'!K$128-'I2 CBA Inputs'!K134,0)+IF(Scenario_Select="Scenario 3",'I2 CBA Inputs'!K$137-'I2 CBA Inputs'!K143,0)+IF(Scenario_Select="Scenario 4",'I2 CBA Inputs'!K$146-'I2 CBA Inputs'!K152,0)),0)</f>
        <v>9384991.6465177536</v>
      </c>
      <c r="M110" s="18">
        <f>IFERROR('I1 General Inputs'!$A20*(IF(Scenario_Select="Scenario 1",'I2 CBA Inputs'!L$119-'I2 CBA Inputs'!L125,0)+IF(Scenario_Select="Scenario 2",'I2 CBA Inputs'!L$128-'I2 CBA Inputs'!L134,0)+IF(Scenario_Select="Scenario 3",'I2 CBA Inputs'!L$137-'I2 CBA Inputs'!L143,0)+IF(Scenario_Select="Scenario 4",'I2 CBA Inputs'!L$146-'I2 CBA Inputs'!L152,0)),0)</f>
        <v>13094401.592347145</v>
      </c>
      <c r="N110" s="18">
        <f>IFERROR('I1 General Inputs'!$A20*(IF(Scenario_Select="Scenario 1",'I2 CBA Inputs'!M$119-'I2 CBA Inputs'!M125,0)+IF(Scenario_Select="Scenario 2",'I2 CBA Inputs'!M$128-'I2 CBA Inputs'!M134,0)+IF(Scenario_Select="Scenario 3",'I2 CBA Inputs'!M$137-'I2 CBA Inputs'!M143,0)+IF(Scenario_Select="Scenario 4",'I2 CBA Inputs'!M$146-'I2 CBA Inputs'!M152,0)),0)</f>
        <v>9389867.6796269417</v>
      </c>
      <c r="O110" s="18">
        <f>IFERROR('I1 General Inputs'!$A20*(IF(Scenario_Select="Scenario 1",'I2 CBA Inputs'!N$119-'I2 CBA Inputs'!N125,0)+IF(Scenario_Select="Scenario 2",'I2 CBA Inputs'!N$128-'I2 CBA Inputs'!N134,0)+IF(Scenario_Select="Scenario 3",'I2 CBA Inputs'!N$137-'I2 CBA Inputs'!N143,0)+IF(Scenario_Select="Scenario 4",'I2 CBA Inputs'!N$146-'I2 CBA Inputs'!N152,0)),0)</f>
        <v>9741941.0083403587</v>
      </c>
      <c r="P110" s="18">
        <f>IFERROR('I1 General Inputs'!$A20*(IF(Scenario_Select="Scenario 1",'I2 CBA Inputs'!O$119-'I2 CBA Inputs'!O125,0)+IF(Scenario_Select="Scenario 2",'I2 CBA Inputs'!O$128-'I2 CBA Inputs'!O134,0)+IF(Scenario_Select="Scenario 3",'I2 CBA Inputs'!O$137-'I2 CBA Inputs'!O143,0)+IF(Scenario_Select="Scenario 4",'I2 CBA Inputs'!O$146-'I2 CBA Inputs'!O152,0)),0)</f>
        <v>-12581967.106678486</v>
      </c>
      <c r="Q110" s="18">
        <f>IFERROR('I1 General Inputs'!$A20*(IF(Scenario_Select="Scenario 1",'I2 CBA Inputs'!P$119-'I2 CBA Inputs'!P125,0)+IF(Scenario_Select="Scenario 2",'I2 CBA Inputs'!P$128-'I2 CBA Inputs'!P134,0)+IF(Scenario_Select="Scenario 3",'I2 CBA Inputs'!P$137-'I2 CBA Inputs'!P143,0)+IF(Scenario_Select="Scenario 4",'I2 CBA Inputs'!P$146-'I2 CBA Inputs'!P152,0)),0)</f>
        <v>-25544391.799954891</v>
      </c>
      <c r="R110" s="18">
        <f>IFERROR('I1 General Inputs'!$A20*(IF(Scenario_Select="Scenario 1",'I2 CBA Inputs'!Q$119-'I2 CBA Inputs'!Q125,0)+IF(Scenario_Select="Scenario 2",'I2 CBA Inputs'!Q$128-'I2 CBA Inputs'!Q134,0)+IF(Scenario_Select="Scenario 3",'I2 CBA Inputs'!Q$137-'I2 CBA Inputs'!Q143,0)+IF(Scenario_Select="Scenario 4",'I2 CBA Inputs'!Q$146-'I2 CBA Inputs'!Q152,0)),0)</f>
        <v>-26748825.486030579</v>
      </c>
      <c r="S110" s="18">
        <f>IFERROR('I1 General Inputs'!$A20*(IF(Scenario_Select="Scenario 1",'I2 CBA Inputs'!R$119-'I2 CBA Inputs'!R125,0)+IF(Scenario_Select="Scenario 2",'I2 CBA Inputs'!R$128-'I2 CBA Inputs'!R134,0)+IF(Scenario_Select="Scenario 3",'I2 CBA Inputs'!R$137-'I2 CBA Inputs'!R143,0)+IF(Scenario_Select="Scenario 4",'I2 CBA Inputs'!R$146-'I2 CBA Inputs'!R152,0)),0)</f>
        <v>-14404323.237597942</v>
      </c>
      <c r="T110" s="18">
        <f>IFERROR('I1 General Inputs'!$A20*(IF(Scenario_Select="Scenario 1",'I2 CBA Inputs'!S$119-'I2 CBA Inputs'!S125,0)+IF(Scenario_Select="Scenario 2",'I2 CBA Inputs'!S$128-'I2 CBA Inputs'!S134,0)+IF(Scenario_Select="Scenario 3",'I2 CBA Inputs'!S$137-'I2 CBA Inputs'!S143,0)+IF(Scenario_Select="Scenario 4",'I2 CBA Inputs'!S$146-'I2 CBA Inputs'!S152,0)),0)</f>
        <v>-4163565.8862147331</v>
      </c>
      <c r="U110" s="18">
        <f>IFERROR('I1 General Inputs'!$A20*(IF(Scenario_Select="Scenario 1",'I2 CBA Inputs'!T$119-'I2 CBA Inputs'!T125,0)+IF(Scenario_Select="Scenario 2",'I2 CBA Inputs'!T$128-'I2 CBA Inputs'!T134,0)+IF(Scenario_Select="Scenario 3",'I2 CBA Inputs'!T$137-'I2 CBA Inputs'!T143,0)+IF(Scenario_Select="Scenario 4",'I2 CBA Inputs'!T$146-'I2 CBA Inputs'!T152,0)),0)</f>
        <v>-5512214.3143982887</v>
      </c>
      <c r="V110" s="18">
        <f>IFERROR('I1 General Inputs'!$A20*(IF(Scenario_Select="Scenario 1",'I2 CBA Inputs'!U$119-'I2 CBA Inputs'!U125,0)+IF(Scenario_Select="Scenario 2",'I2 CBA Inputs'!U$128-'I2 CBA Inputs'!U134,0)+IF(Scenario_Select="Scenario 3",'I2 CBA Inputs'!U$137-'I2 CBA Inputs'!U143,0)+IF(Scenario_Select="Scenario 4",'I2 CBA Inputs'!U$146-'I2 CBA Inputs'!U152,0)),0)</f>
        <v>-23537001.71205616</v>
      </c>
      <c r="W110" s="18">
        <f>IFERROR('I1 General Inputs'!$A20*(IF(Scenario_Select="Scenario 1",'I2 CBA Inputs'!V$119-'I2 CBA Inputs'!V125,0)+IF(Scenario_Select="Scenario 2",'I2 CBA Inputs'!V$128-'I2 CBA Inputs'!V134,0)+IF(Scenario_Select="Scenario 3",'I2 CBA Inputs'!V$137-'I2 CBA Inputs'!V143,0)+IF(Scenario_Select="Scenario 4",'I2 CBA Inputs'!V$146-'I2 CBA Inputs'!V152,0)),0)</f>
        <v>-15215313.596418381</v>
      </c>
      <c r="X110" s="18">
        <f>IFERROR('I1 General Inputs'!$A20*(IF(Scenario_Select="Scenario 1",'I2 CBA Inputs'!W$119-'I2 CBA Inputs'!W125,0)+IF(Scenario_Select="Scenario 2",'I2 CBA Inputs'!W$128-'I2 CBA Inputs'!W134,0)+IF(Scenario_Select="Scenario 3",'I2 CBA Inputs'!W$137-'I2 CBA Inputs'!W143,0)+IF(Scenario_Select="Scenario 4",'I2 CBA Inputs'!W$146-'I2 CBA Inputs'!W152,0)),0)</f>
        <v>24279440.748987198</v>
      </c>
      <c r="Y110" s="18">
        <f>IFERROR('I1 General Inputs'!$A20*(IF(Scenario_Select="Scenario 1",'I2 CBA Inputs'!X$119-'I2 CBA Inputs'!X125,0)+IF(Scenario_Select="Scenario 2",'I2 CBA Inputs'!X$128-'I2 CBA Inputs'!X134,0)+IF(Scenario_Select="Scenario 3",'I2 CBA Inputs'!X$137-'I2 CBA Inputs'!X143,0)+IF(Scenario_Select="Scenario 4",'I2 CBA Inputs'!X$146-'I2 CBA Inputs'!X152,0)),0)</f>
        <v>18946046.271607876</v>
      </c>
      <c r="Z110" s="18">
        <f>IFERROR('I1 General Inputs'!$A20*(IF(Scenario_Select="Scenario 1",'I2 CBA Inputs'!Y$119-'I2 CBA Inputs'!Y125,0)+IF(Scenario_Select="Scenario 2",'I2 CBA Inputs'!Y$128-'I2 CBA Inputs'!Y134,0)+IF(Scenario_Select="Scenario 3",'I2 CBA Inputs'!Y$137-'I2 CBA Inputs'!Y143,0)+IF(Scenario_Select="Scenario 4",'I2 CBA Inputs'!Y$146-'I2 CBA Inputs'!Y152,0)),0)</f>
        <v>-964116.26661491394</v>
      </c>
      <c r="AA110" s="18">
        <f>IFERROR('I1 General Inputs'!$A20*(IF(Scenario_Select="Scenario 1",'I2 CBA Inputs'!Z$119-'I2 CBA Inputs'!Z125,0)+IF(Scenario_Select="Scenario 2",'I2 CBA Inputs'!Z$128-'I2 CBA Inputs'!Z134,0)+IF(Scenario_Select="Scenario 3",'I2 CBA Inputs'!Z$137-'I2 CBA Inputs'!Z143,0)+IF(Scenario_Select="Scenario 4",'I2 CBA Inputs'!Z$146-'I2 CBA Inputs'!Z152,0)),0)</f>
        <v>12520223.550698757</v>
      </c>
      <c r="AB110" s="18">
        <f>IFERROR('I1 General Inputs'!$A20*(IF(Scenario_Select="Scenario 1",'I2 CBA Inputs'!AA$119-'I2 CBA Inputs'!AA125,0)+IF(Scenario_Select="Scenario 2",'I2 CBA Inputs'!AA$128-'I2 CBA Inputs'!AA134,0)+IF(Scenario_Select="Scenario 3",'I2 CBA Inputs'!AA$137-'I2 CBA Inputs'!AA143,0)+IF(Scenario_Select="Scenario 4",'I2 CBA Inputs'!AA$146-'I2 CBA Inputs'!AA152,0)),0)</f>
        <v>28380964.568535805</v>
      </c>
      <c r="AC110" s="18">
        <f>IFERROR('I1 General Inputs'!$A20*(IF(Scenario_Select="Scenario 1",'I2 CBA Inputs'!AB$119-'I2 CBA Inputs'!AB125,0)+IF(Scenario_Select="Scenario 2",'I2 CBA Inputs'!AB$128-'I2 CBA Inputs'!AB134,0)+IF(Scenario_Select="Scenario 3",'I2 CBA Inputs'!AB$137-'I2 CBA Inputs'!AB143,0)+IF(Scenario_Select="Scenario 4",'I2 CBA Inputs'!AB$146-'I2 CBA Inputs'!AB152,0)),0)</f>
        <v>13211391.240790844</v>
      </c>
      <c r="AD110" s="18">
        <f>IFERROR('I1 General Inputs'!$A20*(IF(Scenario_Select="Scenario 1",'I2 CBA Inputs'!AC$119-'I2 CBA Inputs'!AC125,0)+IF(Scenario_Select="Scenario 2",'I2 CBA Inputs'!AC$128-'I2 CBA Inputs'!AC134,0)+IF(Scenario_Select="Scenario 3",'I2 CBA Inputs'!AC$137-'I2 CBA Inputs'!AC143,0)+IF(Scenario_Select="Scenario 4",'I2 CBA Inputs'!AC$146-'I2 CBA Inputs'!AC152,0)),0)</f>
        <v>4108316.2516980171</v>
      </c>
      <c r="AE110" s="18">
        <f>IFERROR('I1 General Inputs'!$A20*(IF(Scenario_Select="Scenario 1",'I2 CBA Inputs'!AD$119-'I2 CBA Inputs'!AD125,0)+IF(Scenario_Select="Scenario 2",'I2 CBA Inputs'!AD$128-'I2 CBA Inputs'!AD134,0)+IF(Scenario_Select="Scenario 3",'I2 CBA Inputs'!AD$137-'I2 CBA Inputs'!AD143,0)+IF(Scenario_Select="Scenario 4",'I2 CBA Inputs'!AD$146-'I2 CBA Inputs'!AD152,0)),0)</f>
        <v>62543655.846561909</v>
      </c>
      <c r="AF110" s="18">
        <f>'I1 General Inputs'!$A20*(IF(Scenario_Select="Scenario 1",'I2 CBA Inputs'!AE$119-'I2 CBA Inputs'!AE125,0)+IF(Scenario_Select="Scenario 2",'I2 CBA Inputs'!AE$128-'I2 CBA Inputs'!AE134,0)+IF(Scenario_Select="Scenario 3",'I2 CBA Inputs'!AE$137-'I2 CBA Inputs'!AE143,0)+IF(Scenario_Select="Scenario 4",'I2 CBA Inputs'!AE$146-'I2 CBA Inputs'!AE152,0))</f>
        <v>56112659.995503426</v>
      </c>
      <c r="AG110" s="18">
        <f>'I1 General Inputs'!$A20*(IF(Scenario_Select="Scenario 1",'I2 CBA Inputs'!AF$119-'I2 CBA Inputs'!AF125,0)+IF(Scenario_Select="Scenario 2",'I2 CBA Inputs'!AF$128-'I2 CBA Inputs'!AF134,0)+IF(Scenario_Select="Scenario 3",'I2 CBA Inputs'!AF$137-'I2 CBA Inputs'!AF143,0)+IF(Scenario_Select="Scenario 4",'I2 CBA Inputs'!AF$146-'I2 CBA Inputs'!AF152,0))</f>
        <v>0</v>
      </c>
      <c r="AH110" s="18">
        <f>'I1 General Inputs'!$A20*(IF(Scenario_Select="Scenario 1",'I2 CBA Inputs'!AG$119-'I2 CBA Inputs'!AG125,0)+IF(Scenario_Select="Scenario 2",'I2 CBA Inputs'!AG$128-'I2 CBA Inputs'!AG134,0)+IF(Scenario_Select="Scenario 3",'I2 CBA Inputs'!AG$137-'I2 CBA Inputs'!AG143,0)+IF(Scenario_Select="Scenario 4",'I2 CBA Inputs'!AG$146-'I2 CBA Inputs'!AG152,0))</f>
        <v>0</v>
      </c>
      <c r="AI110" s="18">
        <f>'I1 General Inputs'!$A20*(IF(Scenario_Select="Scenario 1",'I2 CBA Inputs'!AH$119-'I2 CBA Inputs'!AH125,0)+IF(Scenario_Select="Scenario 2",'I2 CBA Inputs'!AH$128-'I2 CBA Inputs'!AH134,0)+IF(Scenario_Select="Scenario 3",'I2 CBA Inputs'!AH$137-'I2 CBA Inputs'!AH143,0)+IF(Scenario_Select="Scenario 4",'I2 CBA Inputs'!AH$146-'I2 CBA Inputs'!AH152,0))</f>
        <v>0</v>
      </c>
      <c r="AJ110" s="18">
        <f>'I1 General Inputs'!$A20*(IF(Scenario_Select="Scenario 1",'I2 CBA Inputs'!AI$119-'I2 CBA Inputs'!AI125,0)+IF(Scenario_Select="Scenario 2",'I2 CBA Inputs'!AI$128-'I2 CBA Inputs'!AI134,0)+IF(Scenario_Select="Scenario 3",'I2 CBA Inputs'!AI$137-'I2 CBA Inputs'!AI143,0)+IF(Scenario_Select="Scenario 4",'I2 CBA Inputs'!AI$146-'I2 CBA Inputs'!AI152,0))</f>
        <v>0</v>
      </c>
    </row>
    <row r="112" spans="2:36" ht="15.75" x14ac:dyDescent="0.25">
      <c r="B112" s="5" t="str">
        <f>+'I2 CBA Inputs'!B154</f>
        <v xml:space="preserve">Voluntary load curtailment </v>
      </c>
      <c r="C112" s="30"/>
      <c r="D112" s="30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</row>
    <row r="113" spans="2:36" ht="15.75" x14ac:dyDescent="0.25">
      <c r="B113" s="7" t="s">
        <v>14</v>
      </c>
      <c r="C113" s="11" t="s">
        <v>13</v>
      </c>
      <c r="D113" s="11"/>
      <c r="E113" s="8" t="s">
        <v>22</v>
      </c>
      <c r="F113" s="8" t="s">
        <v>37</v>
      </c>
      <c r="G113" s="7">
        <f t="shared" ref="G113:AJ113" si="30">G$7</f>
        <v>2020</v>
      </c>
      <c r="H113" s="7">
        <f t="shared" si="30"/>
        <v>2021</v>
      </c>
      <c r="I113" s="7">
        <f t="shared" si="30"/>
        <v>2022</v>
      </c>
      <c r="J113" s="7">
        <f t="shared" si="30"/>
        <v>2023</v>
      </c>
      <c r="K113" s="7">
        <f t="shared" si="30"/>
        <v>2024</v>
      </c>
      <c r="L113" s="7">
        <f t="shared" si="30"/>
        <v>2025</v>
      </c>
      <c r="M113" s="7">
        <f t="shared" si="30"/>
        <v>2026</v>
      </c>
      <c r="N113" s="7">
        <f t="shared" si="30"/>
        <v>2027</v>
      </c>
      <c r="O113" s="7">
        <f t="shared" si="30"/>
        <v>2028</v>
      </c>
      <c r="P113" s="7">
        <f t="shared" si="30"/>
        <v>2029</v>
      </c>
      <c r="Q113" s="7">
        <f t="shared" si="30"/>
        <v>2030</v>
      </c>
      <c r="R113" s="7">
        <f t="shared" si="30"/>
        <v>2031</v>
      </c>
      <c r="S113" s="7">
        <f t="shared" si="30"/>
        <v>2032</v>
      </c>
      <c r="T113" s="7">
        <f t="shared" si="30"/>
        <v>2033</v>
      </c>
      <c r="U113" s="7">
        <f t="shared" si="30"/>
        <v>2034</v>
      </c>
      <c r="V113" s="7">
        <f t="shared" si="30"/>
        <v>2035</v>
      </c>
      <c r="W113" s="7">
        <f t="shared" si="30"/>
        <v>2036</v>
      </c>
      <c r="X113" s="7">
        <f t="shared" si="30"/>
        <v>2037</v>
      </c>
      <c r="Y113" s="7">
        <f t="shared" si="30"/>
        <v>2038</v>
      </c>
      <c r="Z113" s="7">
        <f t="shared" si="30"/>
        <v>2039</v>
      </c>
      <c r="AA113" s="7">
        <f t="shared" si="30"/>
        <v>2040</v>
      </c>
      <c r="AB113" s="7">
        <f t="shared" si="30"/>
        <v>2041</v>
      </c>
      <c r="AC113" s="7">
        <f t="shared" si="30"/>
        <v>2042</v>
      </c>
      <c r="AD113" s="7">
        <f t="shared" si="30"/>
        <v>2043</v>
      </c>
      <c r="AE113" s="7">
        <f t="shared" si="30"/>
        <v>2044</v>
      </c>
      <c r="AF113" s="7">
        <f t="shared" si="30"/>
        <v>2045</v>
      </c>
      <c r="AG113" s="7">
        <f t="shared" si="30"/>
        <v>0</v>
      </c>
      <c r="AH113" s="7">
        <f t="shared" si="30"/>
        <v>0</v>
      </c>
      <c r="AI113" s="7">
        <f t="shared" si="30"/>
        <v>0</v>
      </c>
      <c r="AJ113" s="7">
        <f t="shared" si="30"/>
        <v>0</v>
      </c>
    </row>
    <row r="114" spans="2:36" x14ac:dyDescent="0.2">
      <c r="B114" s="9">
        <f>+'I1 General Inputs'!$B$15</f>
        <v>1</v>
      </c>
      <c r="C114" s="15" t="str">
        <f>+'I1 General Inputs'!$C$15</f>
        <v>Option 1A</v>
      </c>
      <c r="D114" s="28"/>
      <c r="E114" s="13" t="s">
        <v>35</v>
      </c>
      <c r="F114" s="19">
        <f t="shared" ref="F114:F119" si="31">NPV(DiscountRate,G114:AJ114)/(1+DiscountRate)^(FirstYear-BaseYear-2)</f>
        <v>3788340.0905448608</v>
      </c>
      <c r="G114" s="18">
        <f>IFERROR('I1 General Inputs'!$A15*(IF(Scenario_Select="Scenario 1",'I2 CBA Inputs'!F$157-'I2 CBA Inputs'!F158,0)+IF(Scenario_Select="Scenario 2",'I2 CBA Inputs'!F$166-'I2 CBA Inputs'!F167,0)+IF(Scenario_Select="Scenario 3",'I2 CBA Inputs'!F$175-'I2 CBA Inputs'!F176,0)+IF(Scenario_Select="Scenario 4",'I2 CBA Inputs'!F$184-'I2 CBA Inputs'!F185,0)),0)</f>
        <v>0</v>
      </c>
      <c r="H114" s="18">
        <f>IFERROR('I1 General Inputs'!$A15*(IF(Scenario_Select="Scenario 1",'I2 CBA Inputs'!G$157-'I2 CBA Inputs'!G158,0)+IF(Scenario_Select="Scenario 2",'I2 CBA Inputs'!G$166-'I2 CBA Inputs'!G167,0)+IF(Scenario_Select="Scenario 3",'I2 CBA Inputs'!G$175-'I2 CBA Inputs'!G176,0)+IF(Scenario_Select="Scenario 4",'I2 CBA Inputs'!G$184-'I2 CBA Inputs'!G185,0)),0)</f>
        <v>2.4565855280961841</v>
      </c>
      <c r="I114" s="18">
        <f>IFERROR('I1 General Inputs'!$A15*(IF(Scenario_Select="Scenario 1",'I2 CBA Inputs'!H$157-'I2 CBA Inputs'!H158,0)+IF(Scenario_Select="Scenario 2",'I2 CBA Inputs'!H$166-'I2 CBA Inputs'!H167,0)+IF(Scenario_Select="Scenario 3",'I2 CBA Inputs'!H$175-'I2 CBA Inputs'!H176,0)+IF(Scenario_Select="Scenario 4",'I2 CBA Inputs'!H$184-'I2 CBA Inputs'!H185,0)),0)</f>
        <v>2.6240406115539372</v>
      </c>
      <c r="J114" s="18">
        <f>IFERROR('I1 General Inputs'!$A15*(IF(Scenario_Select="Scenario 1",'I2 CBA Inputs'!I$157-'I2 CBA Inputs'!I158,0)+IF(Scenario_Select="Scenario 2",'I2 CBA Inputs'!I$166-'I2 CBA Inputs'!I167,0)+IF(Scenario_Select="Scenario 3",'I2 CBA Inputs'!I$175-'I2 CBA Inputs'!I176,0)+IF(Scenario_Select="Scenario 4",'I2 CBA Inputs'!I$184-'I2 CBA Inputs'!I185,0)),0)</f>
        <v>153299.99182517827</v>
      </c>
      <c r="K114" s="18">
        <f>IFERROR('I1 General Inputs'!$A15*(IF(Scenario_Select="Scenario 1",'I2 CBA Inputs'!J$157-'I2 CBA Inputs'!J158,0)+IF(Scenario_Select="Scenario 2",'I2 CBA Inputs'!J$166-'I2 CBA Inputs'!J167,0)+IF(Scenario_Select="Scenario 3",'I2 CBA Inputs'!J$175-'I2 CBA Inputs'!J176,0)+IF(Scenario_Select="Scenario 4",'I2 CBA Inputs'!J$184-'I2 CBA Inputs'!J185,0)),0)</f>
        <v>170650.19199061673</v>
      </c>
      <c r="L114" s="18">
        <f>IFERROR('I1 General Inputs'!$A15*(IF(Scenario_Select="Scenario 1",'I2 CBA Inputs'!K$157-'I2 CBA Inputs'!K158,0)+IF(Scenario_Select="Scenario 2",'I2 CBA Inputs'!K$166-'I2 CBA Inputs'!K167,0)+IF(Scenario_Select="Scenario 3",'I2 CBA Inputs'!K$175-'I2 CBA Inputs'!K176,0)+IF(Scenario_Select="Scenario 4",'I2 CBA Inputs'!K$184-'I2 CBA Inputs'!K185,0)),0)</f>
        <v>31916.135128230788</v>
      </c>
      <c r="M114" s="18">
        <f>IFERROR('I1 General Inputs'!$A15*(IF(Scenario_Select="Scenario 1",'I2 CBA Inputs'!L$157-'I2 CBA Inputs'!L158,0)+IF(Scenario_Select="Scenario 2",'I2 CBA Inputs'!L$166-'I2 CBA Inputs'!L167,0)+IF(Scenario_Select="Scenario 3",'I2 CBA Inputs'!L$175-'I2 CBA Inputs'!L176,0)+IF(Scenario_Select="Scenario 4",'I2 CBA Inputs'!L$184-'I2 CBA Inputs'!L185,0)),0)</f>
        <v>3.3584680201444037</v>
      </c>
      <c r="N114" s="18">
        <f>IFERROR('I1 General Inputs'!$A15*(IF(Scenario_Select="Scenario 1",'I2 CBA Inputs'!M$157-'I2 CBA Inputs'!M158,0)+IF(Scenario_Select="Scenario 2",'I2 CBA Inputs'!M$166-'I2 CBA Inputs'!M167,0)+IF(Scenario_Select="Scenario 3",'I2 CBA Inputs'!M$175-'I2 CBA Inputs'!M176,0)+IF(Scenario_Select="Scenario 4",'I2 CBA Inputs'!M$184-'I2 CBA Inputs'!M185,0)),0)</f>
        <v>2861.8714803057828</v>
      </c>
      <c r="O114" s="18">
        <f>IFERROR('I1 General Inputs'!$A15*(IF(Scenario_Select="Scenario 1",'I2 CBA Inputs'!N$157-'I2 CBA Inputs'!N158,0)+IF(Scenario_Select="Scenario 2",'I2 CBA Inputs'!N$166-'I2 CBA Inputs'!N167,0)+IF(Scenario_Select="Scenario 3",'I2 CBA Inputs'!N$175-'I2 CBA Inputs'!N176,0)+IF(Scenario_Select="Scenario 4",'I2 CBA Inputs'!N$184-'I2 CBA Inputs'!N185,0)),0)</f>
        <v>1536.8272974038246</v>
      </c>
      <c r="P114" s="18">
        <f>IFERROR('I1 General Inputs'!$A15*(IF(Scenario_Select="Scenario 1",'I2 CBA Inputs'!O$157-'I2 CBA Inputs'!O158,0)+IF(Scenario_Select="Scenario 2",'I2 CBA Inputs'!O$166-'I2 CBA Inputs'!O167,0)+IF(Scenario_Select="Scenario 3",'I2 CBA Inputs'!O$175-'I2 CBA Inputs'!O176,0)+IF(Scenario_Select="Scenario 4",'I2 CBA Inputs'!O$184-'I2 CBA Inputs'!O185,0)),0)</f>
        <v>45042.989314355422</v>
      </c>
      <c r="Q114" s="18">
        <f>IFERROR('I1 General Inputs'!$A15*(IF(Scenario_Select="Scenario 1",'I2 CBA Inputs'!P$157-'I2 CBA Inputs'!P158,0)+IF(Scenario_Select="Scenario 2",'I2 CBA Inputs'!P$166-'I2 CBA Inputs'!P167,0)+IF(Scenario_Select="Scenario 3",'I2 CBA Inputs'!P$175-'I2 CBA Inputs'!P176,0)+IF(Scenario_Select="Scenario 4",'I2 CBA Inputs'!P$184-'I2 CBA Inputs'!P185,0)),0)</f>
        <v>6845.2527534463443</v>
      </c>
      <c r="R114" s="18">
        <f>IFERROR('I1 General Inputs'!$A15*(IF(Scenario_Select="Scenario 1",'I2 CBA Inputs'!Q$157-'I2 CBA Inputs'!Q158,0)+IF(Scenario_Select="Scenario 2",'I2 CBA Inputs'!Q$166-'I2 CBA Inputs'!Q167,0)+IF(Scenario_Select="Scenario 3",'I2 CBA Inputs'!Q$175-'I2 CBA Inputs'!Q176,0)+IF(Scenario_Select="Scenario 4",'I2 CBA Inputs'!Q$184-'I2 CBA Inputs'!Q185,0)),0)</f>
        <v>-13965.592736233259</v>
      </c>
      <c r="S114" s="18">
        <f>IFERROR('I1 General Inputs'!$A15*(IF(Scenario_Select="Scenario 1",'I2 CBA Inputs'!R$157-'I2 CBA Inputs'!R158,0)+IF(Scenario_Select="Scenario 2",'I2 CBA Inputs'!R$166-'I2 CBA Inputs'!R167,0)+IF(Scenario_Select="Scenario 3",'I2 CBA Inputs'!R$175-'I2 CBA Inputs'!R176,0)+IF(Scenario_Select="Scenario 4",'I2 CBA Inputs'!R$184-'I2 CBA Inputs'!R185,0)),0)</f>
        <v>15635.344124084106</v>
      </c>
      <c r="T114" s="18">
        <f>IFERROR('I1 General Inputs'!$A15*(IF(Scenario_Select="Scenario 1",'I2 CBA Inputs'!S$157-'I2 CBA Inputs'!S158,0)+IF(Scenario_Select="Scenario 2",'I2 CBA Inputs'!S$166-'I2 CBA Inputs'!S167,0)+IF(Scenario_Select="Scenario 3",'I2 CBA Inputs'!S$175-'I2 CBA Inputs'!S176,0)+IF(Scenario_Select="Scenario 4",'I2 CBA Inputs'!S$184-'I2 CBA Inputs'!S185,0)),0)</f>
        <v>767007.9492636947</v>
      </c>
      <c r="U114" s="18">
        <f>IFERROR('I1 General Inputs'!$A15*(IF(Scenario_Select="Scenario 1",'I2 CBA Inputs'!T$157-'I2 CBA Inputs'!T158,0)+IF(Scenario_Select="Scenario 2",'I2 CBA Inputs'!T$166-'I2 CBA Inputs'!T167,0)+IF(Scenario_Select="Scenario 3",'I2 CBA Inputs'!T$175-'I2 CBA Inputs'!T176,0)+IF(Scenario_Select="Scenario 4",'I2 CBA Inputs'!T$184-'I2 CBA Inputs'!T185,0)),0)</f>
        <v>410306.92127044871</v>
      </c>
      <c r="V114" s="18">
        <f>IFERROR('I1 General Inputs'!$A15*(IF(Scenario_Select="Scenario 1",'I2 CBA Inputs'!U$157-'I2 CBA Inputs'!U158,0)+IF(Scenario_Select="Scenario 2",'I2 CBA Inputs'!U$166-'I2 CBA Inputs'!U167,0)+IF(Scenario_Select="Scenario 3",'I2 CBA Inputs'!U$175-'I2 CBA Inputs'!U176,0)+IF(Scenario_Select="Scenario 4",'I2 CBA Inputs'!U$184-'I2 CBA Inputs'!U185,0)),0)</f>
        <v>1042104.354003381</v>
      </c>
      <c r="W114" s="18">
        <f>IFERROR('I1 General Inputs'!$A15*(IF(Scenario_Select="Scenario 1",'I2 CBA Inputs'!V$157-'I2 CBA Inputs'!V158,0)+IF(Scenario_Select="Scenario 2",'I2 CBA Inputs'!V$166-'I2 CBA Inputs'!V167,0)+IF(Scenario_Select="Scenario 3",'I2 CBA Inputs'!V$175-'I2 CBA Inputs'!V176,0)+IF(Scenario_Select="Scenario 4",'I2 CBA Inputs'!V$184-'I2 CBA Inputs'!V185,0)),0)</f>
        <v>2032351.39065836</v>
      </c>
      <c r="X114" s="18">
        <f>IFERROR('I1 General Inputs'!$A15*(IF(Scenario_Select="Scenario 1",'I2 CBA Inputs'!W$157-'I2 CBA Inputs'!W158,0)+IF(Scenario_Select="Scenario 2",'I2 CBA Inputs'!W$166-'I2 CBA Inputs'!W167,0)+IF(Scenario_Select="Scenario 3",'I2 CBA Inputs'!W$175-'I2 CBA Inputs'!W176,0)+IF(Scenario_Select="Scenario 4",'I2 CBA Inputs'!W$184-'I2 CBA Inputs'!W185,0)),0)</f>
        <v>3.3679770891467342E-2</v>
      </c>
      <c r="Y114" s="18">
        <f>IFERROR('I1 General Inputs'!$A15*(IF(Scenario_Select="Scenario 1",'I2 CBA Inputs'!X$157-'I2 CBA Inputs'!X158,0)+IF(Scenario_Select="Scenario 2",'I2 CBA Inputs'!X$166-'I2 CBA Inputs'!X167,0)+IF(Scenario_Select="Scenario 3",'I2 CBA Inputs'!X$175-'I2 CBA Inputs'!X176,0)+IF(Scenario_Select="Scenario 4",'I2 CBA Inputs'!X$184-'I2 CBA Inputs'!X185,0)),0)</f>
        <v>-50173.512451934264</v>
      </c>
      <c r="Z114" s="18">
        <f>IFERROR('I1 General Inputs'!$A15*(IF(Scenario_Select="Scenario 1",'I2 CBA Inputs'!Y$157-'I2 CBA Inputs'!Y158,0)+IF(Scenario_Select="Scenario 2",'I2 CBA Inputs'!Y$166-'I2 CBA Inputs'!Y167,0)+IF(Scenario_Select="Scenario 3",'I2 CBA Inputs'!Y$175-'I2 CBA Inputs'!Y176,0)+IF(Scenario_Select="Scenario 4",'I2 CBA Inputs'!Y$184-'I2 CBA Inputs'!Y185,0)),0)</f>
        <v>-351071.79451521579</v>
      </c>
      <c r="AA114" s="18">
        <f>IFERROR('I1 General Inputs'!$A15*(IF(Scenario_Select="Scenario 1",'I2 CBA Inputs'!Z$157-'I2 CBA Inputs'!Z158,0)+IF(Scenario_Select="Scenario 2",'I2 CBA Inputs'!Z$166-'I2 CBA Inputs'!Z167,0)+IF(Scenario_Select="Scenario 3",'I2 CBA Inputs'!Z$175-'I2 CBA Inputs'!Z176,0)+IF(Scenario_Select="Scenario 4",'I2 CBA Inputs'!Z$184-'I2 CBA Inputs'!Z185,0)),0)</f>
        <v>5543024.0305069368</v>
      </c>
      <c r="AB114" s="18">
        <f>IFERROR('I1 General Inputs'!$A15*(IF(Scenario_Select="Scenario 1",'I2 CBA Inputs'!AA$157-'I2 CBA Inputs'!AA158,0)+IF(Scenario_Select="Scenario 2",'I2 CBA Inputs'!AA$166-'I2 CBA Inputs'!AA167,0)+IF(Scenario_Select="Scenario 3",'I2 CBA Inputs'!AA$175-'I2 CBA Inputs'!AA176,0)+IF(Scenario_Select="Scenario 4",'I2 CBA Inputs'!AA$184-'I2 CBA Inputs'!AA185,0)),0)</f>
        <v>-3166392.9939770028</v>
      </c>
      <c r="AC114" s="18">
        <f>IFERROR('I1 General Inputs'!$A15*(IF(Scenario_Select="Scenario 1",'I2 CBA Inputs'!AB$157-'I2 CBA Inputs'!AB158,0)+IF(Scenario_Select="Scenario 2",'I2 CBA Inputs'!AB$166-'I2 CBA Inputs'!AB167,0)+IF(Scenario_Select="Scenario 3",'I2 CBA Inputs'!AB$175-'I2 CBA Inputs'!AB176,0)+IF(Scenario_Select="Scenario 4",'I2 CBA Inputs'!AB$184-'I2 CBA Inputs'!AB185,0)),0)</f>
        <v>3237959.8160258252</v>
      </c>
      <c r="AD114" s="18">
        <f>IFERROR('I1 General Inputs'!$A15*(IF(Scenario_Select="Scenario 1",'I2 CBA Inputs'!AC$157-'I2 CBA Inputs'!AC158,0)+IF(Scenario_Select="Scenario 2",'I2 CBA Inputs'!AC$166-'I2 CBA Inputs'!AC167,0)+IF(Scenario_Select="Scenario 3",'I2 CBA Inputs'!AC$175-'I2 CBA Inputs'!AC176,0)+IF(Scenario_Select="Scenario 4",'I2 CBA Inputs'!AC$184-'I2 CBA Inputs'!AC185,0)),0)</f>
        <v>351700.3237567246</v>
      </c>
      <c r="AE114" s="18">
        <f>IFERROR('I1 General Inputs'!$A15*(IF(Scenario_Select="Scenario 1",'I2 CBA Inputs'!AD$157-'I2 CBA Inputs'!AD158,0)+IF(Scenario_Select="Scenario 2",'I2 CBA Inputs'!AD$166-'I2 CBA Inputs'!AD167,0)+IF(Scenario_Select="Scenario 3",'I2 CBA Inputs'!AD$175-'I2 CBA Inputs'!AD176,0)+IF(Scenario_Select="Scenario 4",'I2 CBA Inputs'!AD$184-'I2 CBA Inputs'!AD185,0)),0)</f>
        <v>-88379.464858658612</v>
      </c>
      <c r="AF114" s="18">
        <f>'I1 General Inputs'!$A15*(IF(Scenario_Select="Scenario 1",'I2 CBA Inputs'!AE$157-'I2 CBA Inputs'!AE158,0)+IF(Scenario_Select="Scenario 2",'I2 CBA Inputs'!AE$166-'I2 CBA Inputs'!AE167,0)+IF(Scenario_Select="Scenario 3",'I2 CBA Inputs'!AE$175-'I2 CBA Inputs'!AE176,0)+IF(Scenario_Select="Scenario 4",'I2 CBA Inputs'!AE$184-'I2 CBA Inputs'!AE185,0))</f>
        <v>10.945157863439352</v>
      </c>
      <c r="AG114" s="18">
        <f>'I1 General Inputs'!$A15*(IF(Scenario_Select="Scenario 1",'I2 CBA Inputs'!AF$157-'I2 CBA Inputs'!AF158,0)+IF(Scenario_Select="Scenario 2",'I2 CBA Inputs'!AF$166-'I2 CBA Inputs'!AF167,0)+IF(Scenario_Select="Scenario 3",'I2 CBA Inputs'!AF$175-'I2 CBA Inputs'!AF176,0)+IF(Scenario_Select="Scenario 4",'I2 CBA Inputs'!AF$184-'I2 CBA Inputs'!AF185,0))</f>
        <v>0</v>
      </c>
      <c r="AH114" s="18">
        <f>'I1 General Inputs'!$A15*(IF(Scenario_Select="Scenario 1",'I2 CBA Inputs'!AG$157-'I2 CBA Inputs'!AG158,0)+IF(Scenario_Select="Scenario 2",'I2 CBA Inputs'!AG$166-'I2 CBA Inputs'!AG167,0)+IF(Scenario_Select="Scenario 3",'I2 CBA Inputs'!AG$175-'I2 CBA Inputs'!AG176,0)+IF(Scenario_Select="Scenario 4",'I2 CBA Inputs'!AG$184-'I2 CBA Inputs'!AG185,0))</f>
        <v>0</v>
      </c>
      <c r="AI114" s="18">
        <f>'I1 General Inputs'!$A15*(IF(Scenario_Select="Scenario 1",'I2 CBA Inputs'!AH$157-'I2 CBA Inputs'!AH158,0)+IF(Scenario_Select="Scenario 2",'I2 CBA Inputs'!AH$166-'I2 CBA Inputs'!AH167,0)+IF(Scenario_Select="Scenario 3",'I2 CBA Inputs'!AH$175-'I2 CBA Inputs'!AH176,0)+IF(Scenario_Select="Scenario 4",'I2 CBA Inputs'!AH$184-'I2 CBA Inputs'!AH185,0))</f>
        <v>0</v>
      </c>
      <c r="AJ114" s="18">
        <f>'I1 General Inputs'!$A15*(IF(Scenario_Select="Scenario 1",'I2 CBA Inputs'!AI$157-'I2 CBA Inputs'!AI158,0)+IF(Scenario_Select="Scenario 2",'I2 CBA Inputs'!AI$166-'I2 CBA Inputs'!AI167,0)+IF(Scenario_Select="Scenario 3",'I2 CBA Inputs'!AI$175-'I2 CBA Inputs'!AI176,0)+IF(Scenario_Select="Scenario 4",'I2 CBA Inputs'!AI$184-'I2 CBA Inputs'!AI185,0))</f>
        <v>0</v>
      </c>
    </row>
    <row r="115" spans="2:36" x14ac:dyDescent="0.2">
      <c r="B115" s="9">
        <f>+'I1 General Inputs'!$B$16</f>
        <v>2</v>
      </c>
      <c r="C115" s="15" t="str">
        <f>+'I1 General Inputs'!$C$16</f>
        <v>Option 1B</v>
      </c>
      <c r="D115" s="28"/>
      <c r="E115" s="13" t="s">
        <v>35</v>
      </c>
      <c r="F115" s="19">
        <f t="shared" si="31"/>
        <v>-159783.0812292872</v>
      </c>
      <c r="G115" s="18">
        <f>IFERROR('I1 General Inputs'!$A16*(IF(Scenario_Select="Scenario 1",'I2 CBA Inputs'!F$157-'I2 CBA Inputs'!F159,0)+IF(Scenario_Select="Scenario 2",'I2 CBA Inputs'!F$166-'I2 CBA Inputs'!F168,0)+IF(Scenario_Select="Scenario 3",'I2 CBA Inputs'!F$175-'I2 CBA Inputs'!F177,0)+IF(Scenario_Select="Scenario 4",'I2 CBA Inputs'!F$184-'I2 CBA Inputs'!F186,0)),0)</f>
        <v>0</v>
      </c>
      <c r="H115" s="18">
        <f>IFERROR('I1 General Inputs'!$A16*(IF(Scenario_Select="Scenario 1",'I2 CBA Inputs'!G$157-'I2 CBA Inputs'!G159,0)+IF(Scenario_Select="Scenario 2",'I2 CBA Inputs'!G$166-'I2 CBA Inputs'!G168,0)+IF(Scenario_Select="Scenario 3",'I2 CBA Inputs'!G$175-'I2 CBA Inputs'!G177,0)+IF(Scenario_Select="Scenario 4",'I2 CBA Inputs'!G$184-'I2 CBA Inputs'!G186,0)),0)</f>
        <v>-4.3262586600612849</v>
      </c>
      <c r="I115" s="18">
        <f>IFERROR('I1 General Inputs'!$A16*(IF(Scenario_Select="Scenario 1",'I2 CBA Inputs'!H$157-'I2 CBA Inputs'!H159,0)+IF(Scenario_Select="Scenario 2",'I2 CBA Inputs'!H$166-'I2 CBA Inputs'!H168,0)+IF(Scenario_Select="Scenario 3",'I2 CBA Inputs'!H$175-'I2 CBA Inputs'!H177,0)+IF(Scenario_Select="Scenario 4",'I2 CBA Inputs'!H$184-'I2 CBA Inputs'!H186,0)),0)</f>
        <v>-4.5749915445339866</v>
      </c>
      <c r="J115" s="18">
        <f>IFERROR('I1 General Inputs'!$A16*(IF(Scenario_Select="Scenario 1",'I2 CBA Inputs'!I$157-'I2 CBA Inputs'!I159,0)+IF(Scenario_Select="Scenario 2",'I2 CBA Inputs'!I$166-'I2 CBA Inputs'!I168,0)+IF(Scenario_Select="Scenario 3",'I2 CBA Inputs'!I$175-'I2 CBA Inputs'!I177,0)+IF(Scenario_Select="Scenario 4",'I2 CBA Inputs'!I$184-'I2 CBA Inputs'!I186,0)),0)</f>
        <v>45.398783141747117</v>
      </c>
      <c r="K115" s="18">
        <f>IFERROR('I1 General Inputs'!$A16*(IF(Scenario_Select="Scenario 1",'I2 CBA Inputs'!J$157-'I2 CBA Inputs'!J159,0)+IF(Scenario_Select="Scenario 2",'I2 CBA Inputs'!J$166-'I2 CBA Inputs'!J168,0)+IF(Scenario_Select="Scenario 3",'I2 CBA Inputs'!J$175-'I2 CBA Inputs'!J177,0)+IF(Scenario_Select="Scenario 4",'I2 CBA Inputs'!J$184-'I2 CBA Inputs'!J186,0)),0)</f>
        <v>185220.5879455572</v>
      </c>
      <c r="L115" s="18">
        <f>IFERROR('I1 General Inputs'!$A16*(IF(Scenario_Select="Scenario 1",'I2 CBA Inputs'!K$157-'I2 CBA Inputs'!K159,0)+IF(Scenario_Select="Scenario 2",'I2 CBA Inputs'!K$166-'I2 CBA Inputs'!K168,0)+IF(Scenario_Select="Scenario 3",'I2 CBA Inputs'!K$175-'I2 CBA Inputs'!K177,0)+IF(Scenario_Select="Scenario 4",'I2 CBA Inputs'!K$184-'I2 CBA Inputs'!K186,0)),0)</f>
        <v>12010.800651133992</v>
      </c>
      <c r="M115" s="18">
        <f>IFERROR('I1 General Inputs'!$A16*(IF(Scenario_Select="Scenario 1",'I2 CBA Inputs'!L$157-'I2 CBA Inputs'!L159,0)+IF(Scenario_Select="Scenario 2",'I2 CBA Inputs'!L$166-'I2 CBA Inputs'!L168,0)+IF(Scenario_Select="Scenario 3",'I2 CBA Inputs'!L$175-'I2 CBA Inputs'!L177,0)+IF(Scenario_Select="Scenario 4",'I2 CBA Inputs'!L$184-'I2 CBA Inputs'!L186,0)),0)</f>
        <v>-5.8334306060634393</v>
      </c>
      <c r="N115" s="18">
        <f>IFERROR('I1 General Inputs'!$A16*(IF(Scenario_Select="Scenario 1",'I2 CBA Inputs'!M$157-'I2 CBA Inputs'!M159,0)+IF(Scenario_Select="Scenario 2",'I2 CBA Inputs'!M$166-'I2 CBA Inputs'!M168,0)+IF(Scenario_Select="Scenario 3",'I2 CBA Inputs'!M$175-'I2 CBA Inputs'!M177,0)+IF(Scenario_Select="Scenario 4",'I2 CBA Inputs'!M$184-'I2 CBA Inputs'!M186,0)),0)</f>
        <v>-497.33262644701881</v>
      </c>
      <c r="O115" s="18">
        <f>IFERROR('I1 General Inputs'!$A16*(IF(Scenario_Select="Scenario 1",'I2 CBA Inputs'!N$157-'I2 CBA Inputs'!N159,0)+IF(Scenario_Select="Scenario 2",'I2 CBA Inputs'!N$166-'I2 CBA Inputs'!N168,0)+IF(Scenario_Select="Scenario 3",'I2 CBA Inputs'!N$175-'I2 CBA Inputs'!N177,0)+IF(Scenario_Select="Scenario 4",'I2 CBA Inputs'!N$184-'I2 CBA Inputs'!N186,0)),0)</f>
        <v>-722.14289151241246</v>
      </c>
      <c r="P115" s="18">
        <f>IFERROR('I1 General Inputs'!$A16*(IF(Scenario_Select="Scenario 1",'I2 CBA Inputs'!O$157-'I2 CBA Inputs'!O159,0)+IF(Scenario_Select="Scenario 2",'I2 CBA Inputs'!O$166-'I2 CBA Inputs'!O168,0)+IF(Scenario_Select="Scenario 3",'I2 CBA Inputs'!O$175-'I2 CBA Inputs'!O177,0)+IF(Scenario_Select="Scenario 4",'I2 CBA Inputs'!O$184-'I2 CBA Inputs'!O186,0)),0)</f>
        <v>393739.01558010839</v>
      </c>
      <c r="Q115" s="18">
        <f>IFERROR('I1 General Inputs'!$A16*(IF(Scenario_Select="Scenario 1",'I2 CBA Inputs'!P$157-'I2 CBA Inputs'!P159,0)+IF(Scenario_Select="Scenario 2",'I2 CBA Inputs'!P$166-'I2 CBA Inputs'!P168,0)+IF(Scenario_Select="Scenario 3",'I2 CBA Inputs'!P$175-'I2 CBA Inputs'!P177,0)+IF(Scenario_Select="Scenario 4",'I2 CBA Inputs'!P$184-'I2 CBA Inputs'!P186,0)),0)</f>
        <v>77043.684783589561</v>
      </c>
      <c r="R115" s="18">
        <f>IFERROR('I1 General Inputs'!$A16*(IF(Scenario_Select="Scenario 1",'I2 CBA Inputs'!Q$157-'I2 CBA Inputs'!Q159,0)+IF(Scenario_Select="Scenario 2",'I2 CBA Inputs'!Q$166-'I2 CBA Inputs'!Q168,0)+IF(Scenario_Select="Scenario 3",'I2 CBA Inputs'!Q$175-'I2 CBA Inputs'!Q177,0)+IF(Scenario_Select="Scenario 4",'I2 CBA Inputs'!Q$184-'I2 CBA Inputs'!Q186,0)),0)</f>
        <v>-89223.301163708791</v>
      </c>
      <c r="S115" s="18">
        <f>IFERROR('I1 General Inputs'!$A16*(IF(Scenario_Select="Scenario 1",'I2 CBA Inputs'!R$157-'I2 CBA Inputs'!R159,0)+IF(Scenario_Select="Scenario 2",'I2 CBA Inputs'!R$166-'I2 CBA Inputs'!R168,0)+IF(Scenario_Select="Scenario 3",'I2 CBA Inputs'!R$175-'I2 CBA Inputs'!R177,0)+IF(Scenario_Select="Scenario 4",'I2 CBA Inputs'!R$184-'I2 CBA Inputs'!R186,0)),0)</f>
        <v>12725.360757283634</v>
      </c>
      <c r="T115" s="18">
        <f>IFERROR('I1 General Inputs'!$A16*(IF(Scenario_Select="Scenario 1",'I2 CBA Inputs'!S$157-'I2 CBA Inputs'!S159,0)+IF(Scenario_Select="Scenario 2",'I2 CBA Inputs'!S$166-'I2 CBA Inputs'!S168,0)+IF(Scenario_Select="Scenario 3",'I2 CBA Inputs'!S$175-'I2 CBA Inputs'!S177,0)+IF(Scenario_Select="Scenario 4",'I2 CBA Inputs'!S$184-'I2 CBA Inputs'!S186,0)),0)</f>
        <v>176453.86186158843</v>
      </c>
      <c r="U115" s="18">
        <f>IFERROR('I1 General Inputs'!$A16*(IF(Scenario_Select="Scenario 1",'I2 CBA Inputs'!T$157-'I2 CBA Inputs'!T159,0)+IF(Scenario_Select="Scenario 2",'I2 CBA Inputs'!T$166-'I2 CBA Inputs'!T168,0)+IF(Scenario_Select="Scenario 3",'I2 CBA Inputs'!T$175-'I2 CBA Inputs'!T177,0)+IF(Scenario_Select="Scenario 4",'I2 CBA Inputs'!T$184-'I2 CBA Inputs'!T186,0)),0)</f>
        <v>-398039.24027699418</v>
      </c>
      <c r="V115" s="18">
        <f>IFERROR('I1 General Inputs'!$A16*(IF(Scenario_Select="Scenario 1",'I2 CBA Inputs'!U$157-'I2 CBA Inputs'!U159,0)+IF(Scenario_Select="Scenario 2",'I2 CBA Inputs'!U$166-'I2 CBA Inputs'!U168,0)+IF(Scenario_Select="Scenario 3",'I2 CBA Inputs'!U$175-'I2 CBA Inputs'!U177,0)+IF(Scenario_Select="Scenario 4",'I2 CBA Inputs'!U$184-'I2 CBA Inputs'!U186,0)),0)</f>
        <v>-406259.787277353</v>
      </c>
      <c r="W115" s="18">
        <f>IFERROR('I1 General Inputs'!$A16*(IF(Scenario_Select="Scenario 1",'I2 CBA Inputs'!V$157-'I2 CBA Inputs'!V159,0)+IF(Scenario_Select="Scenario 2",'I2 CBA Inputs'!V$166-'I2 CBA Inputs'!V168,0)+IF(Scenario_Select="Scenario 3",'I2 CBA Inputs'!V$175-'I2 CBA Inputs'!V177,0)+IF(Scenario_Select="Scenario 4",'I2 CBA Inputs'!V$184-'I2 CBA Inputs'!V186,0)),0)</f>
        <v>571539.05613701604</v>
      </c>
      <c r="X115" s="18">
        <f>IFERROR('I1 General Inputs'!$A16*(IF(Scenario_Select="Scenario 1",'I2 CBA Inputs'!W$157-'I2 CBA Inputs'!W159,0)+IF(Scenario_Select="Scenario 2",'I2 CBA Inputs'!W$166-'I2 CBA Inputs'!W168,0)+IF(Scenario_Select="Scenario 3",'I2 CBA Inputs'!W$175-'I2 CBA Inputs'!W177,0)+IF(Scenario_Select="Scenario 4",'I2 CBA Inputs'!W$184-'I2 CBA Inputs'!W186,0)),0)</f>
        <v>-12663.108381094375</v>
      </c>
      <c r="Y115" s="18">
        <f>IFERROR('I1 General Inputs'!$A16*(IF(Scenario_Select="Scenario 1",'I2 CBA Inputs'!X$157-'I2 CBA Inputs'!X159,0)+IF(Scenario_Select="Scenario 2",'I2 CBA Inputs'!X$166-'I2 CBA Inputs'!X168,0)+IF(Scenario_Select="Scenario 3",'I2 CBA Inputs'!X$175-'I2 CBA Inputs'!X177,0)+IF(Scenario_Select="Scenario 4",'I2 CBA Inputs'!X$184-'I2 CBA Inputs'!X186,0)),0)</f>
        <v>-39513.668098982031</v>
      </c>
      <c r="Z115" s="18">
        <f>IFERROR('I1 General Inputs'!$A16*(IF(Scenario_Select="Scenario 1",'I2 CBA Inputs'!Y$157-'I2 CBA Inputs'!Y159,0)+IF(Scenario_Select="Scenario 2",'I2 CBA Inputs'!Y$166-'I2 CBA Inputs'!Y168,0)+IF(Scenario_Select="Scenario 3",'I2 CBA Inputs'!Y$175-'I2 CBA Inputs'!Y177,0)+IF(Scenario_Select="Scenario 4",'I2 CBA Inputs'!Y$184-'I2 CBA Inputs'!Y186,0)),0)</f>
        <v>-601159.211803318</v>
      </c>
      <c r="AA115" s="18">
        <f>IFERROR('I1 General Inputs'!$A16*(IF(Scenario_Select="Scenario 1",'I2 CBA Inputs'!Z$157-'I2 CBA Inputs'!Z159,0)+IF(Scenario_Select="Scenario 2",'I2 CBA Inputs'!Z$166-'I2 CBA Inputs'!Z168,0)+IF(Scenario_Select="Scenario 3",'I2 CBA Inputs'!Z$175-'I2 CBA Inputs'!Z177,0)+IF(Scenario_Select="Scenario 4",'I2 CBA Inputs'!Z$184-'I2 CBA Inputs'!Z186,0)),0)</f>
        <v>164600.38582418859</v>
      </c>
      <c r="AB115" s="18">
        <f>IFERROR('I1 General Inputs'!$A16*(IF(Scenario_Select="Scenario 1",'I2 CBA Inputs'!AA$157-'I2 CBA Inputs'!AA159,0)+IF(Scenario_Select="Scenario 2",'I2 CBA Inputs'!AA$166-'I2 CBA Inputs'!AA168,0)+IF(Scenario_Select="Scenario 3",'I2 CBA Inputs'!AA$175-'I2 CBA Inputs'!AA177,0)+IF(Scenario_Select="Scenario 4",'I2 CBA Inputs'!AA$184-'I2 CBA Inputs'!AA186,0)),0)</f>
        <v>-330500.43200439215</v>
      </c>
      <c r="AC115" s="18">
        <f>IFERROR('I1 General Inputs'!$A16*(IF(Scenario_Select="Scenario 1",'I2 CBA Inputs'!AB$157-'I2 CBA Inputs'!AB159,0)+IF(Scenario_Select="Scenario 2",'I2 CBA Inputs'!AB$166-'I2 CBA Inputs'!AB168,0)+IF(Scenario_Select="Scenario 3",'I2 CBA Inputs'!AB$175-'I2 CBA Inputs'!AB177,0)+IF(Scenario_Select="Scenario 4",'I2 CBA Inputs'!AB$184-'I2 CBA Inputs'!AB186,0)),0)</f>
        <v>-332510.21980883367</v>
      </c>
      <c r="AD115" s="18">
        <f>IFERROR('I1 General Inputs'!$A16*(IF(Scenario_Select="Scenario 1",'I2 CBA Inputs'!AC$157-'I2 CBA Inputs'!AC159,0)+IF(Scenario_Select="Scenario 2",'I2 CBA Inputs'!AC$166-'I2 CBA Inputs'!AC168,0)+IF(Scenario_Select="Scenario 3",'I2 CBA Inputs'!AC$175-'I2 CBA Inputs'!AC177,0)+IF(Scenario_Select="Scenario 4",'I2 CBA Inputs'!AC$184-'I2 CBA Inputs'!AC186,0)),0)</f>
        <v>-301952.28990283608</v>
      </c>
      <c r="AE115" s="18">
        <f>IFERROR('I1 General Inputs'!$A16*(IF(Scenario_Select="Scenario 1",'I2 CBA Inputs'!AD$157-'I2 CBA Inputs'!AD159,0)+IF(Scenario_Select="Scenario 2",'I2 CBA Inputs'!AD$166-'I2 CBA Inputs'!AD168,0)+IF(Scenario_Select="Scenario 3",'I2 CBA Inputs'!AD$175-'I2 CBA Inputs'!AD177,0)+IF(Scenario_Select="Scenario 4",'I2 CBA Inputs'!AD$184-'I2 CBA Inputs'!AD186,0)),0)</f>
        <v>-283006.95620308444</v>
      </c>
      <c r="AF115" s="18">
        <f>'I1 General Inputs'!$A16*(IF(Scenario_Select="Scenario 1",'I2 CBA Inputs'!AE$157-'I2 CBA Inputs'!AE159,0)+IF(Scenario_Select="Scenario 2",'I2 CBA Inputs'!AE$166-'I2 CBA Inputs'!AE168,0)+IF(Scenario_Select="Scenario 3",'I2 CBA Inputs'!AE$175-'I2 CBA Inputs'!AE177,0)+IF(Scenario_Select="Scenario 4",'I2 CBA Inputs'!AE$184-'I2 CBA Inputs'!AE186,0))</f>
        <v>-19.000398197498438</v>
      </c>
      <c r="AG115" s="18">
        <f>'I1 General Inputs'!$A16*(IF(Scenario_Select="Scenario 1",'I2 CBA Inputs'!AF$157-'I2 CBA Inputs'!AF159,0)+IF(Scenario_Select="Scenario 2",'I2 CBA Inputs'!AF$166-'I2 CBA Inputs'!AF168,0)+IF(Scenario_Select="Scenario 3",'I2 CBA Inputs'!AF$175-'I2 CBA Inputs'!AF177,0)+IF(Scenario_Select="Scenario 4",'I2 CBA Inputs'!AF$184-'I2 CBA Inputs'!AF186,0))</f>
        <v>0</v>
      </c>
      <c r="AH115" s="18">
        <f>'I1 General Inputs'!$A16*(IF(Scenario_Select="Scenario 1",'I2 CBA Inputs'!AG$157-'I2 CBA Inputs'!AG159,0)+IF(Scenario_Select="Scenario 2",'I2 CBA Inputs'!AG$166-'I2 CBA Inputs'!AG168,0)+IF(Scenario_Select="Scenario 3",'I2 CBA Inputs'!AG$175-'I2 CBA Inputs'!AG177,0)+IF(Scenario_Select="Scenario 4",'I2 CBA Inputs'!AG$184-'I2 CBA Inputs'!AG186,0))</f>
        <v>0</v>
      </c>
      <c r="AI115" s="18">
        <f>'I1 General Inputs'!$A16*(IF(Scenario_Select="Scenario 1",'I2 CBA Inputs'!AH$157-'I2 CBA Inputs'!AH159,0)+IF(Scenario_Select="Scenario 2",'I2 CBA Inputs'!AH$166-'I2 CBA Inputs'!AH168,0)+IF(Scenario_Select="Scenario 3",'I2 CBA Inputs'!AH$175-'I2 CBA Inputs'!AH177,0)+IF(Scenario_Select="Scenario 4",'I2 CBA Inputs'!AH$184-'I2 CBA Inputs'!AH186,0))</f>
        <v>0</v>
      </c>
      <c r="AJ115" s="18">
        <f>'I1 General Inputs'!$A16*(IF(Scenario_Select="Scenario 1",'I2 CBA Inputs'!AI$157-'I2 CBA Inputs'!AI159,0)+IF(Scenario_Select="Scenario 2",'I2 CBA Inputs'!AI$166-'I2 CBA Inputs'!AI168,0)+IF(Scenario_Select="Scenario 3",'I2 CBA Inputs'!AI$175-'I2 CBA Inputs'!AI177,0)+IF(Scenario_Select="Scenario 4",'I2 CBA Inputs'!AI$184-'I2 CBA Inputs'!AI186,0))</f>
        <v>0</v>
      </c>
    </row>
    <row r="116" spans="2:36" x14ac:dyDescent="0.2">
      <c r="B116" s="9">
        <f>+'I1 General Inputs'!$B$17</f>
        <v>3</v>
      </c>
      <c r="C116" s="15" t="str">
        <f>+'I1 General Inputs'!$C$17</f>
        <v>Option 1C</v>
      </c>
      <c r="D116" s="28"/>
      <c r="E116" s="13" t="s">
        <v>35</v>
      </c>
      <c r="F116" s="19">
        <f t="shared" si="31"/>
        <v>2363645.1192489699</v>
      </c>
      <c r="G116" s="18">
        <f>IFERROR('I1 General Inputs'!$A17*(IF(Scenario_Select="Scenario 1",'I2 CBA Inputs'!F$157-'I2 CBA Inputs'!F160,0)+IF(Scenario_Select="Scenario 2",'I2 CBA Inputs'!F$166-'I2 CBA Inputs'!F169,0)+IF(Scenario_Select="Scenario 3",'I2 CBA Inputs'!F$175-'I2 CBA Inputs'!F178,0)+IF(Scenario_Select="Scenario 4",'I2 CBA Inputs'!F$184-'I2 CBA Inputs'!F187,0)),0)</f>
        <v>0</v>
      </c>
      <c r="H116" s="18">
        <f>IFERROR('I1 General Inputs'!$A17*(IF(Scenario_Select="Scenario 1",'I2 CBA Inputs'!G$157-'I2 CBA Inputs'!G160,0)+IF(Scenario_Select="Scenario 2",'I2 CBA Inputs'!G$166-'I2 CBA Inputs'!G169,0)+IF(Scenario_Select="Scenario 3",'I2 CBA Inputs'!G$175-'I2 CBA Inputs'!G178,0)+IF(Scenario_Select="Scenario 4",'I2 CBA Inputs'!G$184-'I2 CBA Inputs'!G187,0)),0)</f>
        <v>2.1731561960186809</v>
      </c>
      <c r="I116" s="18">
        <f>IFERROR('I1 General Inputs'!$A17*(IF(Scenario_Select="Scenario 1",'I2 CBA Inputs'!H$157-'I2 CBA Inputs'!H160,0)+IF(Scenario_Select="Scenario 2",'I2 CBA Inputs'!H$166-'I2 CBA Inputs'!H169,0)+IF(Scenario_Select="Scenario 3",'I2 CBA Inputs'!H$175-'I2 CBA Inputs'!H178,0)+IF(Scenario_Select="Scenario 4",'I2 CBA Inputs'!H$184-'I2 CBA Inputs'!H187,0)),0)</f>
        <v>2.3248577464837581</v>
      </c>
      <c r="J116" s="18">
        <f>IFERROR('I1 General Inputs'!$A17*(IF(Scenario_Select="Scenario 1",'I2 CBA Inputs'!I$157-'I2 CBA Inputs'!I160,0)+IF(Scenario_Select="Scenario 2",'I2 CBA Inputs'!I$166-'I2 CBA Inputs'!I169,0)+IF(Scenario_Select="Scenario 3",'I2 CBA Inputs'!I$175-'I2 CBA Inputs'!I178,0)+IF(Scenario_Select="Scenario 4",'I2 CBA Inputs'!I$184-'I2 CBA Inputs'!I187,0)),0)</f>
        <v>367818.99157524295</v>
      </c>
      <c r="K116" s="18">
        <f>IFERROR('I1 General Inputs'!$A17*(IF(Scenario_Select="Scenario 1",'I2 CBA Inputs'!J$157-'I2 CBA Inputs'!J160,0)+IF(Scenario_Select="Scenario 2",'I2 CBA Inputs'!J$166-'I2 CBA Inputs'!J169,0)+IF(Scenario_Select="Scenario 3",'I2 CBA Inputs'!J$175-'I2 CBA Inputs'!J178,0)+IF(Scenario_Select="Scenario 4",'I2 CBA Inputs'!J$184-'I2 CBA Inputs'!J187,0)),0)</f>
        <v>44112.86357998196</v>
      </c>
      <c r="L116" s="18">
        <f>IFERROR('I1 General Inputs'!$A17*(IF(Scenario_Select="Scenario 1",'I2 CBA Inputs'!K$157-'I2 CBA Inputs'!K160,0)+IF(Scenario_Select="Scenario 2",'I2 CBA Inputs'!K$166-'I2 CBA Inputs'!K169,0)+IF(Scenario_Select="Scenario 3",'I2 CBA Inputs'!K$175-'I2 CBA Inputs'!K178,0)+IF(Scenario_Select="Scenario 4",'I2 CBA Inputs'!K$184-'I2 CBA Inputs'!K187,0)),0)</f>
        <v>286960.15541093936</v>
      </c>
      <c r="M116" s="18">
        <f>IFERROR('I1 General Inputs'!$A17*(IF(Scenario_Select="Scenario 1",'I2 CBA Inputs'!L$157-'I2 CBA Inputs'!L160,0)+IF(Scenario_Select="Scenario 2",'I2 CBA Inputs'!L$166-'I2 CBA Inputs'!L169,0)+IF(Scenario_Select="Scenario 3",'I2 CBA Inputs'!L$175-'I2 CBA Inputs'!L178,0)+IF(Scenario_Select="Scenario 4",'I2 CBA Inputs'!L$184-'I2 CBA Inputs'!L187,0)),0)</f>
        <v>2.9641078603137085</v>
      </c>
      <c r="N116" s="18">
        <f>IFERROR('I1 General Inputs'!$A17*(IF(Scenario_Select="Scenario 1",'I2 CBA Inputs'!M$157-'I2 CBA Inputs'!M160,0)+IF(Scenario_Select="Scenario 2",'I2 CBA Inputs'!M$166-'I2 CBA Inputs'!M169,0)+IF(Scenario_Select="Scenario 3",'I2 CBA Inputs'!M$175-'I2 CBA Inputs'!M178,0)+IF(Scenario_Select="Scenario 4",'I2 CBA Inputs'!M$184-'I2 CBA Inputs'!M187,0)),0)</f>
        <v>2861.4525108694565</v>
      </c>
      <c r="O116" s="18">
        <f>IFERROR('I1 General Inputs'!$A17*(IF(Scenario_Select="Scenario 1",'I2 CBA Inputs'!N$157-'I2 CBA Inputs'!N160,0)+IF(Scenario_Select="Scenario 2",'I2 CBA Inputs'!N$166-'I2 CBA Inputs'!N169,0)+IF(Scenario_Select="Scenario 3",'I2 CBA Inputs'!N$175-'I2 CBA Inputs'!N178,0)+IF(Scenario_Select="Scenario 4",'I2 CBA Inputs'!N$184-'I2 CBA Inputs'!N187,0)),0)</f>
        <v>12674.314811297008</v>
      </c>
      <c r="P116" s="18">
        <f>IFERROR('I1 General Inputs'!$A17*(IF(Scenario_Select="Scenario 1",'I2 CBA Inputs'!O$157-'I2 CBA Inputs'!O160,0)+IF(Scenario_Select="Scenario 2",'I2 CBA Inputs'!O$166-'I2 CBA Inputs'!O169,0)+IF(Scenario_Select="Scenario 3",'I2 CBA Inputs'!O$175-'I2 CBA Inputs'!O178,0)+IF(Scenario_Select="Scenario 4",'I2 CBA Inputs'!O$184-'I2 CBA Inputs'!O187,0)),0)</f>
        <v>85045.991593205137</v>
      </c>
      <c r="Q116" s="18">
        <f>IFERROR('I1 General Inputs'!$A17*(IF(Scenario_Select="Scenario 1",'I2 CBA Inputs'!P$157-'I2 CBA Inputs'!P160,0)+IF(Scenario_Select="Scenario 2",'I2 CBA Inputs'!P$166-'I2 CBA Inputs'!P169,0)+IF(Scenario_Select="Scenario 3",'I2 CBA Inputs'!P$175-'I2 CBA Inputs'!P178,0)+IF(Scenario_Select="Scenario 4",'I2 CBA Inputs'!P$184-'I2 CBA Inputs'!P187,0)),0)</f>
        <v>-52861.144124597311</v>
      </c>
      <c r="R116" s="18">
        <f>IFERROR('I1 General Inputs'!$A17*(IF(Scenario_Select="Scenario 1",'I2 CBA Inputs'!Q$157-'I2 CBA Inputs'!Q160,0)+IF(Scenario_Select="Scenario 2",'I2 CBA Inputs'!Q$166-'I2 CBA Inputs'!Q169,0)+IF(Scenario_Select="Scenario 3",'I2 CBA Inputs'!Q$175-'I2 CBA Inputs'!Q178,0)+IF(Scenario_Select="Scenario 4",'I2 CBA Inputs'!Q$184-'I2 CBA Inputs'!Q187,0)),0)</f>
        <v>551008.40101827576</v>
      </c>
      <c r="S116" s="18">
        <f>IFERROR('I1 General Inputs'!$A17*(IF(Scenario_Select="Scenario 1",'I2 CBA Inputs'!R$157-'I2 CBA Inputs'!R160,0)+IF(Scenario_Select="Scenario 2",'I2 CBA Inputs'!R$166-'I2 CBA Inputs'!R169,0)+IF(Scenario_Select="Scenario 3",'I2 CBA Inputs'!R$175-'I2 CBA Inputs'!R178,0)+IF(Scenario_Select="Scenario 4",'I2 CBA Inputs'!R$184-'I2 CBA Inputs'!R187,0)),0)</f>
        <v>-16691.278025670443</v>
      </c>
      <c r="T116" s="18">
        <f>IFERROR('I1 General Inputs'!$A17*(IF(Scenario_Select="Scenario 1",'I2 CBA Inputs'!S$157-'I2 CBA Inputs'!S160,0)+IF(Scenario_Select="Scenario 2",'I2 CBA Inputs'!S$166-'I2 CBA Inputs'!S169,0)+IF(Scenario_Select="Scenario 3",'I2 CBA Inputs'!S$175-'I2 CBA Inputs'!S178,0)+IF(Scenario_Select="Scenario 4",'I2 CBA Inputs'!S$184-'I2 CBA Inputs'!S187,0)),0)</f>
        <v>-11968.153449748643</v>
      </c>
      <c r="U116" s="18">
        <f>IFERROR('I1 General Inputs'!$A17*(IF(Scenario_Select="Scenario 1",'I2 CBA Inputs'!T$157-'I2 CBA Inputs'!T160,0)+IF(Scenario_Select="Scenario 2",'I2 CBA Inputs'!T$166-'I2 CBA Inputs'!T169,0)+IF(Scenario_Select="Scenario 3",'I2 CBA Inputs'!T$175-'I2 CBA Inputs'!T178,0)+IF(Scenario_Select="Scenario 4",'I2 CBA Inputs'!T$184-'I2 CBA Inputs'!T187,0)),0)</f>
        <v>1395988.765756913</v>
      </c>
      <c r="V116" s="18">
        <f>IFERROR('I1 General Inputs'!$A17*(IF(Scenario_Select="Scenario 1",'I2 CBA Inputs'!U$157-'I2 CBA Inputs'!U160,0)+IF(Scenario_Select="Scenario 2",'I2 CBA Inputs'!U$166-'I2 CBA Inputs'!U169,0)+IF(Scenario_Select="Scenario 3",'I2 CBA Inputs'!U$175-'I2 CBA Inputs'!U178,0)+IF(Scenario_Select="Scenario 4",'I2 CBA Inputs'!U$184-'I2 CBA Inputs'!U187,0)),0)</f>
        <v>591979.69549809396</v>
      </c>
      <c r="W116" s="18">
        <f>IFERROR('I1 General Inputs'!$A17*(IF(Scenario_Select="Scenario 1",'I2 CBA Inputs'!V$157-'I2 CBA Inputs'!V160,0)+IF(Scenario_Select="Scenario 2",'I2 CBA Inputs'!V$166-'I2 CBA Inputs'!V169,0)+IF(Scenario_Select="Scenario 3",'I2 CBA Inputs'!V$175-'I2 CBA Inputs'!V178,0)+IF(Scenario_Select="Scenario 4",'I2 CBA Inputs'!V$184-'I2 CBA Inputs'!V187,0)),0)</f>
        <v>2064910.4194543697</v>
      </c>
      <c r="X116" s="18">
        <f>IFERROR('I1 General Inputs'!$A17*(IF(Scenario_Select="Scenario 1",'I2 CBA Inputs'!W$157-'I2 CBA Inputs'!W160,0)+IF(Scenario_Select="Scenario 2",'I2 CBA Inputs'!W$166-'I2 CBA Inputs'!W169,0)+IF(Scenario_Select="Scenario 3",'I2 CBA Inputs'!W$175-'I2 CBA Inputs'!W178,0)+IF(Scenario_Select="Scenario 4",'I2 CBA Inputs'!W$184-'I2 CBA Inputs'!W187,0)),0)</f>
        <v>19143.516272930025</v>
      </c>
      <c r="Y116" s="18">
        <f>IFERROR('I1 General Inputs'!$A17*(IF(Scenario_Select="Scenario 1",'I2 CBA Inputs'!X$157-'I2 CBA Inputs'!X160,0)+IF(Scenario_Select="Scenario 2",'I2 CBA Inputs'!X$166-'I2 CBA Inputs'!X169,0)+IF(Scenario_Select="Scenario 3",'I2 CBA Inputs'!X$175-'I2 CBA Inputs'!X178,0)+IF(Scenario_Select="Scenario 4",'I2 CBA Inputs'!X$184-'I2 CBA Inputs'!X187,0)),0)</f>
        <v>17517.001182179301</v>
      </c>
      <c r="Z116" s="18">
        <f>IFERROR('I1 General Inputs'!$A17*(IF(Scenario_Select="Scenario 1",'I2 CBA Inputs'!Y$157-'I2 CBA Inputs'!Y160,0)+IF(Scenario_Select="Scenario 2",'I2 CBA Inputs'!Y$166-'I2 CBA Inputs'!Y169,0)+IF(Scenario_Select="Scenario 3",'I2 CBA Inputs'!Y$175-'I2 CBA Inputs'!Y178,0)+IF(Scenario_Select="Scenario 4",'I2 CBA Inputs'!Y$184-'I2 CBA Inputs'!Y187,0)),0)</f>
        <v>391238.1182539016</v>
      </c>
      <c r="AA116" s="18">
        <f>IFERROR('I1 General Inputs'!$A17*(IF(Scenario_Select="Scenario 1",'I2 CBA Inputs'!Z$157-'I2 CBA Inputs'!Z160,0)+IF(Scenario_Select="Scenario 2",'I2 CBA Inputs'!Z$166-'I2 CBA Inputs'!Z169,0)+IF(Scenario_Select="Scenario 3",'I2 CBA Inputs'!Z$175-'I2 CBA Inputs'!Z178,0)+IF(Scenario_Select="Scenario 4",'I2 CBA Inputs'!Z$184-'I2 CBA Inputs'!Z187,0)),0)</f>
        <v>3232136.3813402988</v>
      </c>
      <c r="AB116" s="18">
        <f>IFERROR('I1 General Inputs'!$A17*(IF(Scenario_Select="Scenario 1",'I2 CBA Inputs'!AA$157-'I2 CBA Inputs'!AA160,0)+IF(Scenario_Select="Scenario 2",'I2 CBA Inputs'!AA$166-'I2 CBA Inputs'!AA169,0)+IF(Scenario_Select="Scenario 3",'I2 CBA Inputs'!AA$175-'I2 CBA Inputs'!AA178,0)+IF(Scenario_Select="Scenario 4",'I2 CBA Inputs'!AA$184-'I2 CBA Inputs'!AA187,0)),0)</f>
        <v>-3926896.0891678333</v>
      </c>
      <c r="AC116" s="18">
        <f>IFERROR('I1 General Inputs'!$A17*(IF(Scenario_Select="Scenario 1",'I2 CBA Inputs'!AB$157-'I2 CBA Inputs'!AB160,0)+IF(Scenario_Select="Scenario 2",'I2 CBA Inputs'!AB$166-'I2 CBA Inputs'!AB169,0)+IF(Scenario_Select="Scenario 3",'I2 CBA Inputs'!AB$175-'I2 CBA Inputs'!AB178,0)+IF(Scenario_Select="Scenario 4",'I2 CBA Inputs'!AB$184-'I2 CBA Inputs'!AB187,0)),0)</f>
        <v>2056514.0375815798</v>
      </c>
      <c r="AD116" s="18">
        <f>IFERROR('I1 General Inputs'!$A17*(IF(Scenario_Select="Scenario 1",'I2 CBA Inputs'!AC$157-'I2 CBA Inputs'!AC160,0)+IF(Scenario_Select="Scenario 2",'I2 CBA Inputs'!AC$166-'I2 CBA Inputs'!AC169,0)+IF(Scenario_Select="Scenario 3",'I2 CBA Inputs'!AC$175-'I2 CBA Inputs'!AC178,0)+IF(Scenario_Select="Scenario 4",'I2 CBA Inputs'!AC$184-'I2 CBA Inputs'!AC187,0)),0)</f>
        <v>721113.02193694189</v>
      </c>
      <c r="AE116" s="18">
        <f>IFERROR('I1 General Inputs'!$A17*(IF(Scenario_Select="Scenario 1",'I2 CBA Inputs'!AD$157-'I2 CBA Inputs'!AD160,0)+IF(Scenario_Select="Scenario 2",'I2 CBA Inputs'!AD$166-'I2 CBA Inputs'!AD169,0)+IF(Scenario_Select="Scenario 3",'I2 CBA Inputs'!AD$175-'I2 CBA Inputs'!AD178,0)+IF(Scenario_Select="Scenario 4",'I2 CBA Inputs'!AD$184-'I2 CBA Inputs'!AD187,0)),0)</f>
        <v>-3869535.0103180744</v>
      </c>
      <c r="AF116" s="18">
        <f>'I1 General Inputs'!$A17*(IF(Scenario_Select="Scenario 1",'I2 CBA Inputs'!AE$157-'I2 CBA Inputs'!AE160,0)+IF(Scenario_Select="Scenario 2",'I2 CBA Inputs'!AE$166-'I2 CBA Inputs'!AE169,0)+IF(Scenario_Select="Scenario 3",'I2 CBA Inputs'!AE$175-'I2 CBA Inputs'!AE178,0)+IF(Scenario_Select="Scenario 4",'I2 CBA Inputs'!AE$184-'I2 CBA Inputs'!AE187,0))</f>
        <v>9.6688637987627786</v>
      </c>
      <c r="AG116" s="18">
        <f>'I1 General Inputs'!$A17*(IF(Scenario_Select="Scenario 1",'I2 CBA Inputs'!AF$157-'I2 CBA Inputs'!AF160,0)+IF(Scenario_Select="Scenario 2",'I2 CBA Inputs'!AF$166-'I2 CBA Inputs'!AF169,0)+IF(Scenario_Select="Scenario 3",'I2 CBA Inputs'!AF$175-'I2 CBA Inputs'!AF178,0)+IF(Scenario_Select="Scenario 4",'I2 CBA Inputs'!AF$184-'I2 CBA Inputs'!AF187,0))</f>
        <v>0</v>
      </c>
      <c r="AH116" s="18">
        <f>'I1 General Inputs'!$A17*(IF(Scenario_Select="Scenario 1",'I2 CBA Inputs'!AG$157-'I2 CBA Inputs'!AG160,0)+IF(Scenario_Select="Scenario 2",'I2 CBA Inputs'!AG$166-'I2 CBA Inputs'!AG169,0)+IF(Scenario_Select="Scenario 3",'I2 CBA Inputs'!AG$175-'I2 CBA Inputs'!AG178,0)+IF(Scenario_Select="Scenario 4",'I2 CBA Inputs'!AG$184-'I2 CBA Inputs'!AG187,0))</f>
        <v>0</v>
      </c>
      <c r="AI116" s="18">
        <f>'I1 General Inputs'!$A17*(IF(Scenario_Select="Scenario 1",'I2 CBA Inputs'!AH$157-'I2 CBA Inputs'!AH160,0)+IF(Scenario_Select="Scenario 2",'I2 CBA Inputs'!AH$166-'I2 CBA Inputs'!AH169,0)+IF(Scenario_Select="Scenario 3",'I2 CBA Inputs'!AH$175-'I2 CBA Inputs'!AH178,0)+IF(Scenario_Select="Scenario 4",'I2 CBA Inputs'!AH$184-'I2 CBA Inputs'!AH187,0))</f>
        <v>0</v>
      </c>
      <c r="AJ116" s="18">
        <f>'I1 General Inputs'!$A17*(IF(Scenario_Select="Scenario 1",'I2 CBA Inputs'!AI$157-'I2 CBA Inputs'!AI160,0)+IF(Scenario_Select="Scenario 2",'I2 CBA Inputs'!AI$166-'I2 CBA Inputs'!AI169,0)+IF(Scenario_Select="Scenario 3",'I2 CBA Inputs'!AI$175-'I2 CBA Inputs'!AI178,0)+IF(Scenario_Select="Scenario 4",'I2 CBA Inputs'!AI$184-'I2 CBA Inputs'!AI187,0))</f>
        <v>0</v>
      </c>
    </row>
    <row r="117" spans="2:36" x14ac:dyDescent="0.2">
      <c r="B117" s="9">
        <f>+'I1 General Inputs'!$B$18</f>
        <v>4</v>
      </c>
      <c r="C117" s="15" t="str">
        <f>+'I1 General Inputs'!$C$18</f>
        <v>Option 1D</v>
      </c>
      <c r="D117" s="28"/>
      <c r="E117" s="13" t="s">
        <v>35</v>
      </c>
      <c r="F117" s="19">
        <f t="shared" si="31"/>
        <v>1005060.8540779117</v>
      </c>
      <c r="G117" s="18">
        <f>IFERROR('I1 General Inputs'!$A18*(IF(Scenario_Select="Scenario 1",'I2 CBA Inputs'!F$157-'I2 CBA Inputs'!F161,0)+IF(Scenario_Select="Scenario 2",'I2 CBA Inputs'!F$166-'I2 CBA Inputs'!F170,0)+IF(Scenario_Select="Scenario 3",'I2 CBA Inputs'!F$175-'I2 CBA Inputs'!F179,0)+IF(Scenario_Select="Scenario 4",'I2 CBA Inputs'!F$184-'I2 CBA Inputs'!F188,0)),0)</f>
        <v>0</v>
      </c>
      <c r="H117" s="18">
        <f>IFERROR('I1 General Inputs'!$A18*(IF(Scenario_Select="Scenario 1",'I2 CBA Inputs'!G$157-'I2 CBA Inputs'!G161,0)+IF(Scenario_Select="Scenario 2",'I2 CBA Inputs'!G$166-'I2 CBA Inputs'!G170,0)+IF(Scenario_Select="Scenario 3",'I2 CBA Inputs'!G$175-'I2 CBA Inputs'!G179,0)+IF(Scenario_Select="Scenario 4",'I2 CBA Inputs'!G$184-'I2 CBA Inputs'!G188,0)),0)</f>
        <v>2.6569880159804597</v>
      </c>
      <c r="I117" s="18">
        <f>IFERROR('I1 General Inputs'!$A18*(IF(Scenario_Select="Scenario 1",'I2 CBA Inputs'!H$157-'I2 CBA Inputs'!H161,0)+IF(Scenario_Select="Scenario 2",'I2 CBA Inputs'!H$166-'I2 CBA Inputs'!H170,0)+IF(Scenario_Select="Scenario 3",'I2 CBA Inputs'!H$175-'I2 CBA Inputs'!H179,0)+IF(Scenario_Select="Scenario 4",'I2 CBA Inputs'!H$184-'I2 CBA Inputs'!H188,0)),0)</f>
        <v>2.729779772751499</v>
      </c>
      <c r="J117" s="18">
        <f>IFERROR('I1 General Inputs'!$A18*(IF(Scenario_Select="Scenario 1",'I2 CBA Inputs'!I$157-'I2 CBA Inputs'!I161,0)+IF(Scenario_Select="Scenario 2",'I2 CBA Inputs'!I$166-'I2 CBA Inputs'!I170,0)+IF(Scenario_Select="Scenario 3",'I2 CBA Inputs'!I$175-'I2 CBA Inputs'!I179,0)+IF(Scenario_Select="Scenario 4",'I2 CBA Inputs'!I$184-'I2 CBA Inputs'!I188,0)),0)</f>
        <v>393741.20350500755</v>
      </c>
      <c r="K117" s="18">
        <f>IFERROR('I1 General Inputs'!$A18*(IF(Scenario_Select="Scenario 1",'I2 CBA Inputs'!J$157-'I2 CBA Inputs'!J161,0)+IF(Scenario_Select="Scenario 2",'I2 CBA Inputs'!J$166-'I2 CBA Inputs'!J170,0)+IF(Scenario_Select="Scenario 3",'I2 CBA Inputs'!J$175-'I2 CBA Inputs'!J179,0)+IF(Scenario_Select="Scenario 4",'I2 CBA Inputs'!J$184-'I2 CBA Inputs'!J188,0)),0)</f>
        <v>22756.10978056863</v>
      </c>
      <c r="L117" s="18">
        <f>IFERROR('I1 General Inputs'!$A18*(IF(Scenario_Select="Scenario 1",'I2 CBA Inputs'!K$157-'I2 CBA Inputs'!K161,0)+IF(Scenario_Select="Scenario 2",'I2 CBA Inputs'!K$166-'I2 CBA Inputs'!K170,0)+IF(Scenario_Select="Scenario 3",'I2 CBA Inputs'!K$175-'I2 CBA Inputs'!K179,0)+IF(Scenario_Select="Scenario 4",'I2 CBA Inputs'!K$184-'I2 CBA Inputs'!K188,0)),0)</f>
        <v>168184.69296395825</v>
      </c>
      <c r="M117" s="18">
        <f>IFERROR('I1 General Inputs'!$A18*(IF(Scenario_Select="Scenario 1",'I2 CBA Inputs'!L$157-'I2 CBA Inputs'!L161,0)+IF(Scenario_Select="Scenario 2",'I2 CBA Inputs'!L$166-'I2 CBA Inputs'!L170,0)+IF(Scenario_Select="Scenario 3",'I2 CBA Inputs'!L$175-'I2 CBA Inputs'!L179,0)+IF(Scenario_Select="Scenario 4",'I2 CBA Inputs'!L$184-'I2 CBA Inputs'!L188,0)),0)</f>
        <v>3.4995939613163323</v>
      </c>
      <c r="N117" s="18">
        <f>IFERROR('I1 General Inputs'!$A18*(IF(Scenario_Select="Scenario 1",'I2 CBA Inputs'!M$157-'I2 CBA Inputs'!M161,0)+IF(Scenario_Select="Scenario 2",'I2 CBA Inputs'!M$166-'I2 CBA Inputs'!M170,0)+IF(Scenario_Select="Scenario 3",'I2 CBA Inputs'!M$175-'I2 CBA Inputs'!M179,0)+IF(Scenario_Select="Scenario 4",'I2 CBA Inputs'!M$184-'I2 CBA Inputs'!M188,0)),0)</f>
        <v>2862.0167899443991</v>
      </c>
      <c r="O117" s="18">
        <f>IFERROR('I1 General Inputs'!$A18*(IF(Scenario_Select="Scenario 1",'I2 CBA Inputs'!N$157-'I2 CBA Inputs'!N161,0)+IF(Scenario_Select="Scenario 2",'I2 CBA Inputs'!N$166-'I2 CBA Inputs'!N170,0)+IF(Scenario_Select="Scenario 3",'I2 CBA Inputs'!N$175-'I2 CBA Inputs'!N179,0)+IF(Scenario_Select="Scenario 4",'I2 CBA Inputs'!N$184-'I2 CBA Inputs'!N188,0)),0)</f>
        <v>8393.3405018497269</v>
      </c>
      <c r="P117" s="18">
        <f>IFERROR('I1 General Inputs'!$A18*(IF(Scenario_Select="Scenario 1",'I2 CBA Inputs'!O$157-'I2 CBA Inputs'!O161,0)+IF(Scenario_Select="Scenario 2",'I2 CBA Inputs'!O$166-'I2 CBA Inputs'!O170,0)+IF(Scenario_Select="Scenario 3",'I2 CBA Inputs'!O$175-'I2 CBA Inputs'!O179,0)+IF(Scenario_Select="Scenario 4",'I2 CBA Inputs'!O$184-'I2 CBA Inputs'!O188,0)),0)</f>
        <v>82803.5302565936</v>
      </c>
      <c r="Q117" s="18">
        <f>IFERROR('I1 General Inputs'!$A18*(IF(Scenario_Select="Scenario 1",'I2 CBA Inputs'!P$157-'I2 CBA Inputs'!P161,0)+IF(Scenario_Select="Scenario 2",'I2 CBA Inputs'!P$166-'I2 CBA Inputs'!P170,0)+IF(Scenario_Select="Scenario 3",'I2 CBA Inputs'!P$175-'I2 CBA Inputs'!P179,0)+IF(Scenario_Select="Scenario 4",'I2 CBA Inputs'!P$184-'I2 CBA Inputs'!P188,0)),0)</f>
        <v>15843.611786529422</v>
      </c>
      <c r="R117" s="18">
        <f>IFERROR('I1 General Inputs'!$A18*(IF(Scenario_Select="Scenario 1",'I2 CBA Inputs'!Q$157-'I2 CBA Inputs'!Q161,0)+IF(Scenario_Select="Scenario 2",'I2 CBA Inputs'!Q$166-'I2 CBA Inputs'!Q170,0)+IF(Scenario_Select="Scenario 3",'I2 CBA Inputs'!Q$175-'I2 CBA Inputs'!Q179,0)+IF(Scenario_Select="Scenario 4",'I2 CBA Inputs'!Q$184-'I2 CBA Inputs'!Q188,0)),0)</f>
        <v>417091.43001015368</v>
      </c>
      <c r="S117" s="18">
        <f>IFERROR('I1 General Inputs'!$A18*(IF(Scenario_Select="Scenario 1",'I2 CBA Inputs'!R$157-'I2 CBA Inputs'!R161,0)+IF(Scenario_Select="Scenario 2",'I2 CBA Inputs'!R$166-'I2 CBA Inputs'!R170,0)+IF(Scenario_Select="Scenario 3",'I2 CBA Inputs'!R$175-'I2 CBA Inputs'!R179,0)+IF(Scenario_Select="Scenario 4",'I2 CBA Inputs'!R$184-'I2 CBA Inputs'!R188,0)),0)</f>
        <v>-9078.0865025431849</v>
      </c>
      <c r="T117" s="18">
        <f>IFERROR('I1 General Inputs'!$A18*(IF(Scenario_Select="Scenario 1",'I2 CBA Inputs'!S$157-'I2 CBA Inputs'!S161,0)+IF(Scenario_Select="Scenario 2",'I2 CBA Inputs'!S$166-'I2 CBA Inputs'!S170,0)+IF(Scenario_Select="Scenario 3",'I2 CBA Inputs'!S$175-'I2 CBA Inputs'!S179,0)+IF(Scenario_Select="Scenario 4",'I2 CBA Inputs'!S$184-'I2 CBA Inputs'!S188,0)),0)</f>
        <v>-283642.81799439248</v>
      </c>
      <c r="U117" s="18">
        <f>IFERROR('I1 General Inputs'!$A18*(IF(Scenario_Select="Scenario 1",'I2 CBA Inputs'!T$157-'I2 CBA Inputs'!T161,0)+IF(Scenario_Select="Scenario 2",'I2 CBA Inputs'!T$166-'I2 CBA Inputs'!T170,0)+IF(Scenario_Select="Scenario 3",'I2 CBA Inputs'!T$175-'I2 CBA Inputs'!T179,0)+IF(Scenario_Select="Scenario 4",'I2 CBA Inputs'!T$184-'I2 CBA Inputs'!T188,0)),0)</f>
        <v>293843.2606543377</v>
      </c>
      <c r="V117" s="18">
        <f>IFERROR('I1 General Inputs'!$A18*(IF(Scenario_Select="Scenario 1",'I2 CBA Inputs'!U$157-'I2 CBA Inputs'!U161,0)+IF(Scenario_Select="Scenario 2",'I2 CBA Inputs'!U$166-'I2 CBA Inputs'!U170,0)+IF(Scenario_Select="Scenario 3",'I2 CBA Inputs'!U$175-'I2 CBA Inputs'!U179,0)+IF(Scenario_Select="Scenario 4",'I2 CBA Inputs'!U$184-'I2 CBA Inputs'!U188,0)),0)</f>
        <v>38650.398577953689</v>
      </c>
      <c r="W117" s="18">
        <f>IFERROR('I1 General Inputs'!$A18*(IF(Scenario_Select="Scenario 1",'I2 CBA Inputs'!V$157-'I2 CBA Inputs'!V161,0)+IF(Scenario_Select="Scenario 2",'I2 CBA Inputs'!V$166-'I2 CBA Inputs'!V170,0)+IF(Scenario_Select="Scenario 3",'I2 CBA Inputs'!V$175-'I2 CBA Inputs'!V179,0)+IF(Scenario_Select="Scenario 4",'I2 CBA Inputs'!V$184-'I2 CBA Inputs'!V188,0)),0)</f>
        <v>1133494.826196814</v>
      </c>
      <c r="X117" s="18">
        <f>IFERROR('I1 General Inputs'!$A18*(IF(Scenario_Select="Scenario 1",'I2 CBA Inputs'!W$157-'I2 CBA Inputs'!W161,0)+IF(Scenario_Select="Scenario 2",'I2 CBA Inputs'!W$166-'I2 CBA Inputs'!W170,0)+IF(Scenario_Select="Scenario 3",'I2 CBA Inputs'!W$175-'I2 CBA Inputs'!W179,0)+IF(Scenario_Select="Scenario 4",'I2 CBA Inputs'!W$184-'I2 CBA Inputs'!W188,0)),0)</f>
        <v>12577.771167215786</v>
      </c>
      <c r="Y117" s="18">
        <f>IFERROR('I1 General Inputs'!$A18*(IF(Scenario_Select="Scenario 1",'I2 CBA Inputs'!X$157-'I2 CBA Inputs'!X161,0)+IF(Scenario_Select="Scenario 2",'I2 CBA Inputs'!X$166-'I2 CBA Inputs'!X170,0)+IF(Scenario_Select="Scenario 3",'I2 CBA Inputs'!X$175-'I2 CBA Inputs'!X179,0)+IF(Scenario_Select="Scenario 4",'I2 CBA Inputs'!X$184-'I2 CBA Inputs'!X188,0)),0)</f>
        <v>2513.8179921804694</v>
      </c>
      <c r="Z117" s="18">
        <f>IFERROR('I1 General Inputs'!$A18*(IF(Scenario_Select="Scenario 1",'I2 CBA Inputs'!Y$157-'I2 CBA Inputs'!Y161,0)+IF(Scenario_Select="Scenario 2",'I2 CBA Inputs'!Y$166-'I2 CBA Inputs'!Y170,0)+IF(Scenario_Select="Scenario 3",'I2 CBA Inputs'!Y$175-'I2 CBA Inputs'!Y179,0)+IF(Scenario_Select="Scenario 4",'I2 CBA Inputs'!Y$184-'I2 CBA Inputs'!Y188,0)),0)</f>
        <v>220154.34626584593</v>
      </c>
      <c r="AA117" s="18">
        <f>IFERROR('I1 General Inputs'!$A18*(IF(Scenario_Select="Scenario 1",'I2 CBA Inputs'!Z$157-'I2 CBA Inputs'!Z161,0)+IF(Scenario_Select="Scenario 2",'I2 CBA Inputs'!Z$166-'I2 CBA Inputs'!Z170,0)+IF(Scenario_Select="Scenario 3",'I2 CBA Inputs'!Z$175-'I2 CBA Inputs'!Z179,0)+IF(Scenario_Select="Scenario 4",'I2 CBA Inputs'!Z$184-'I2 CBA Inputs'!Z188,0)),0)</f>
        <v>694300.69374737144</v>
      </c>
      <c r="AB117" s="18">
        <f>IFERROR('I1 General Inputs'!$A18*(IF(Scenario_Select="Scenario 1",'I2 CBA Inputs'!AA$157-'I2 CBA Inputs'!AA161,0)+IF(Scenario_Select="Scenario 2",'I2 CBA Inputs'!AA$166-'I2 CBA Inputs'!AA170,0)+IF(Scenario_Select="Scenario 3",'I2 CBA Inputs'!AA$175-'I2 CBA Inputs'!AA179,0)+IF(Scenario_Select="Scenario 4",'I2 CBA Inputs'!AA$184-'I2 CBA Inputs'!AA188,0)),0)</f>
        <v>-2465327.1448026299</v>
      </c>
      <c r="AC117" s="18">
        <f>IFERROR('I1 General Inputs'!$A18*(IF(Scenario_Select="Scenario 1",'I2 CBA Inputs'!AB$157-'I2 CBA Inputs'!AB161,0)+IF(Scenario_Select="Scenario 2",'I2 CBA Inputs'!AB$166-'I2 CBA Inputs'!AB170,0)+IF(Scenario_Select="Scenario 3",'I2 CBA Inputs'!AB$175-'I2 CBA Inputs'!AB179,0)+IF(Scenario_Select="Scenario 4",'I2 CBA Inputs'!AB$184-'I2 CBA Inputs'!AB188,0)),0)</f>
        <v>648523.42333293986</v>
      </c>
      <c r="AD117" s="18">
        <f>IFERROR('I1 General Inputs'!$A18*(IF(Scenario_Select="Scenario 1",'I2 CBA Inputs'!AC$157-'I2 CBA Inputs'!AC161,0)+IF(Scenario_Select="Scenario 2",'I2 CBA Inputs'!AC$166-'I2 CBA Inputs'!AC170,0)+IF(Scenario_Select="Scenario 3",'I2 CBA Inputs'!AC$175-'I2 CBA Inputs'!AC179,0)+IF(Scenario_Select="Scenario 4",'I2 CBA Inputs'!AC$184-'I2 CBA Inputs'!AC188,0)),0)</f>
        <v>881.42888180911541</v>
      </c>
      <c r="AE117" s="18">
        <f>IFERROR('I1 General Inputs'!$A18*(IF(Scenario_Select="Scenario 1",'I2 CBA Inputs'!AD$157-'I2 CBA Inputs'!AD161,0)+IF(Scenario_Select="Scenario 2",'I2 CBA Inputs'!AD$166-'I2 CBA Inputs'!AD170,0)+IF(Scenario_Select="Scenario 3",'I2 CBA Inputs'!AD$175-'I2 CBA Inputs'!AD179,0)+IF(Scenario_Select="Scenario 4",'I2 CBA Inputs'!AD$184-'I2 CBA Inputs'!AD188,0)),0)</f>
        <v>138942.57155668736</v>
      </c>
      <c r="AF117" s="18">
        <f>'I1 General Inputs'!$A18*(IF(Scenario_Select="Scenario 1",'I2 CBA Inputs'!AE$157-'I2 CBA Inputs'!AE161,0)+IF(Scenario_Select="Scenario 2",'I2 CBA Inputs'!AE$166-'I2 CBA Inputs'!AE170,0)+IF(Scenario_Select="Scenario 3",'I2 CBA Inputs'!AE$175-'I2 CBA Inputs'!AE179,0)+IF(Scenario_Select="Scenario 4",'I2 CBA Inputs'!AE$184-'I2 CBA Inputs'!AE188,0))</f>
        <v>11.411325893043539</v>
      </c>
      <c r="AG117" s="18">
        <f>'I1 General Inputs'!$A18*(IF(Scenario_Select="Scenario 1",'I2 CBA Inputs'!AF$157-'I2 CBA Inputs'!AF161,0)+IF(Scenario_Select="Scenario 2",'I2 CBA Inputs'!AF$166-'I2 CBA Inputs'!AF170,0)+IF(Scenario_Select="Scenario 3",'I2 CBA Inputs'!AF$175-'I2 CBA Inputs'!AF179,0)+IF(Scenario_Select="Scenario 4",'I2 CBA Inputs'!AF$184-'I2 CBA Inputs'!AF188,0))</f>
        <v>0</v>
      </c>
      <c r="AH117" s="18">
        <f>'I1 General Inputs'!$A18*(IF(Scenario_Select="Scenario 1",'I2 CBA Inputs'!AG$157-'I2 CBA Inputs'!AG161,0)+IF(Scenario_Select="Scenario 2",'I2 CBA Inputs'!AG$166-'I2 CBA Inputs'!AG170,0)+IF(Scenario_Select="Scenario 3",'I2 CBA Inputs'!AG$175-'I2 CBA Inputs'!AG179,0)+IF(Scenario_Select="Scenario 4",'I2 CBA Inputs'!AG$184-'I2 CBA Inputs'!AG188,0))</f>
        <v>0</v>
      </c>
      <c r="AI117" s="18">
        <f>'I1 General Inputs'!$A18*(IF(Scenario_Select="Scenario 1",'I2 CBA Inputs'!AH$157-'I2 CBA Inputs'!AH161,0)+IF(Scenario_Select="Scenario 2",'I2 CBA Inputs'!AH$166-'I2 CBA Inputs'!AH170,0)+IF(Scenario_Select="Scenario 3",'I2 CBA Inputs'!AH$175-'I2 CBA Inputs'!AH179,0)+IF(Scenario_Select="Scenario 4",'I2 CBA Inputs'!AH$184-'I2 CBA Inputs'!AH188,0))</f>
        <v>0</v>
      </c>
      <c r="AJ117" s="18">
        <f>'I1 General Inputs'!$A18*(IF(Scenario_Select="Scenario 1",'I2 CBA Inputs'!AI$157-'I2 CBA Inputs'!AI161,0)+IF(Scenario_Select="Scenario 2",'I2 CBA Inputs'!AI$166-'I2 CBA Inputs'!AI170,0)+IF(Scenario_Select="Scenario 3",'I2 CBA Inputs'!AI$175-'I2 CBA Inputs'!AI179,0)+IF(Scenario_Select="Scenario 4",'I2 CBA Inputs'!AI$184-'I2 CBA Inputs'!AI188,0))</f>
        <v>0</v>
      </c>
    </row>
    <row r="118" spans="2:36" x14ac:dyDescent="0.2">
      <c r="B118" s="9">
        <f>+'I1 General Inputs'!$B$19</f>
        <v>5</v>
      </c>
      <c r="C118" s="15" t="str">
        <f>+'I1 General Inputs'!$C$19</f>
        <v>Option 5A</v>
      </c>
      <c r="D118" s="28"/>
      <c r="E118" s="13" t="s">
        <v>35</v>
      </c>
      <c r="F118" s="19">
        <f t="shared" si="31"/>
        <v>0</v>
      </c>
      <c r="G118" s="18">
        <f>IFERROR('I1 General Inputs'!$A19*(IF(Scenario_Select="Scenario 1",'I2 CBA Inputs'!F$157-'I2 CBA Inputs'!F162,0)+IF(Scenario_Select="Scenario 2",'I2 CBA Inputs'!F$166-'I2 CBA Inputs'!F171,0)+IF(Scenario_Select="Scenario 3",'I2 CBA Inputs'!F$175-'I2 CBA Inputs'!F180,0)+IF(Scenario_Select="Scenario 4",'I2 CBA Inputs'!F$184-'I2 CBA Inputs'!F189,0)),0)</f>
        <v>0</v>
      </c>
      <c r="H118" s="18">
        <f>IFERROR('I1 General Inputs'!$A19*(IF(Scenario_Select="Scenario 1",'I2 CBA Inputs'!G$157-'I2 CBA Inputs'!G162,0)+IF(Scenario_Select="Scenario 2",'I2 CBA Inputs'!G$166-'I2 CBA Inputs'!G171,0)+IF(Scenario_Select="Scenario 3",'I2 CBA Inputs'!G$175-'I2 CBA Inputs'!G180,0)+IF(Scenario_Select="Scenario 4",'I2 CBA Inputs'!G$184-'I2 CBA Inputs'!G189,0)),0)</f>
        <v>0</v>
      </c>
      <c r="I118" s="18">
        <f>IFERROR('I1 General Inputs'!$A19*(IF(Scenario_Select="Scenario 1",'I2 CBA Inputs'!H$157-'I2 CBA Inputs'!H162,0)+IF(Scenario_Select="Scenario 2",'I2 CBA Inputs'!H$166-'I2 CBA Inputs'!H171,0)+IF(Scenario_Select="Scenario 3",'I2 CBA Inputs'!H$175-'I2 CBA Inputs'!H180,0)+IF(Scenario_Select="Scenario 4",'I2 CBA Inputs'!H$184-'I2 CBA Inputs'!H189,0)),0)</f>
        <v>0</v>
      </c>
      <c r="J118" s="18">
        <f>IFERROR('I1 General Inputs'!$A19*(IF(Scenario_Select="Scenario 1",'I2 CBA Inputs'!I$157-'I2 CBA Inputs'!I162,0)+IF(Scenario_Select="Scenario 2",'I2 CBA Inputs'!I$166-'I2 CBA Inputs'!I171,0)+IF(Scenario_Select="Scenario 3",'I2 CBA Inputs'!I$175-'I2 CBA Inputs'!I180,0)+IF(Scenario_Select="Scenario 4",'I2 CBA Inputs'!I$184-'I2 CBA Inputs'!I189,0)),0)</f>
        <v>0</v>
      </c>
      <c r="K118" s="18">
        <f>IFERROR('I1 General Inputs'!$A19*(IF(Scenario_Select="Scenario 1",'I2 CBA Inputs'!J$157-'I2 CBA Inputs'!J162,0)+IF(Scenario_Select="Scenario 2",'I2 CBA Inputs'!J$166-'I2 CBA Inputs'!J171,0)+IF(Scenario_Select="Scenario 3",'I2 CBA Inputs'!J$175-'I2 CBA Inputs'!J180,0)+IF(Scenario_Select="Scenario 4",'I2 CBA Inputs'!J$184-'I2 CBA Inputs'!J189,0)),0)</f>
        <v>0</v>
      </c>
      <c r="L118" s="18">
        <f>IFERROR('I1 General Inputs'!$A19*(IF(Scenario_Select="Scenario 1",'I2 CBA Inputs'!K$157-'I2 CBA Inputs'!K162,0)+IF(Scenario_Select="Scenario 2",'I2 CBA Inputs'!K$166-'I2 CBA Inputs'!K171,0)+IF(Scenario_Select="Scenario 3",'I2 CBA Inputs'!K$175-'I2 CBA Inputs'!K180,0)+IF(Scenario_Select="Scenario 4",'I2 CBA Inputs'!K$184-'I2 CBA Inputs'!K189,0)),0)</f>
        <v>0</v>
      </c>
      <c r="M118" s="18">
        <f>IFERROR('I1 General Inputs'!$A19*(IF(Scenario_Select="Scenario 1",'I2 CBA Inputs'!L$157-'I2 CBA Inputs'!L162,0)+IF(Scenario_Select="Scenario 2",'I2 CBA Inputs'!L$166-'I2 CBA Inputs'!L171,0)+IF(Scenario_Select="Scenario 3",'I2 CBA Inputs'!L$175-'I2 CBA Inputs'!L180,0)+IF(Scenario_Select="Scenario 4",'I2 CBA Inputs'!L$184-'I2 CBA Inputs'!L189,0)),0)</f>
        <v>0</v>
      </c>
      <c r="N118" s="18">
        <f>IFERROR('I1 General Inputs'!$A19*(IF(Scenario_Select="Scenario 1",'I2 CBA Inputs'!M$157-'I2 CBA Inputs'!M162,0)+IF(Scenario_Select="Scenario 2",'I2 CBA Inputs'!M$166-'I2 CBA Inputs'!M171,0)+IF(Scenario_Select="Scenario 3",'I2 CBA Inputs'!M$175-'I2 CBA Inputs'!M180,0)+IF(Scenario_Select="Scenario 4",'I2 CBA Inputs'!M$184-'I2 CBA Inputs'!M189,0)),0)</f>
        <v>0</v>
      </c>
      <c r="O118" s="18">
        <f>IFERROR('I1 General Inputs'!$A19*(IF(Scenario_Select="Scenario 1",'I2 CBA Inputs'!N$157-'I2 CBA Inputs'!N162,0)+IF(Scenario_Select="Scenario 2",'I2 CBA Inputs'!N$166-'I2 CBA Inputs'!N171,0)+IF(Scenario_Select="Scenario 3",'I2 CBA Inputs'!N$175-'I2 CBA Inputs'!N180,0)+IF(Scenario_Select="Scenario 4",'I2 CBA Inputs'!N$184-'I2 CBA Inputs'!N189,0)),0)</f>
        <v>0</v>
      </c>
      <c r="P118" s="18">
        <f>IFERROR('I1 General Inputs'!$A19*(IF(Scenario_Select="Scenario 1",'I2 CBA Inputs'!O$157-'I2 CBA Inputs'!O162,0)+IF(Scenario_Select="Scenario 2",'I2 CBA Inputs'!O$166-'I2 CBA Inputs'!O171,0)+IF(Scenario_Select="Scenario 3",'I2 CBA Inputs'!O$175-'I2 CBA Inputs'!O180,0)+IF(Scenario_Select="Scenario 4",'I2 CBA Inputs'!O$184-'I2 CBA Inputs'!O189,0)),0)</f>
        <v>0</v>
      </c>
      <c r="Q118" s="18">
        <f>IFERROR('I1 General Inputs'!$A19*(IF(Scenario_Select="Scenario 1",'I2 CBA Inputs'!P$157-'I2 CBA Inputs'!P162,0)+IF(Scenario_Select="Scenario 2",'I2 CBA Inputs'!P$166-'I2 CBA Inputs'!P171,0)+IF(Scenario_Select="Scenario 3",'I2 CBA Inputs'!P$175-'I2 CBA Inputs'!P180,0)+IF(Scenario_Select="Scenario 4",'I2 CBA Inputs'!P$184-'I2 CBA Inputs'!P189,0)),0)</f>
        <v>0</v>
      </c>
      <c r="R118" s="18">
        <f>IFERROR('I1 General Inputs'!$A19*(IF(Scenario_Select="Scenario 1",'I2 CBA Inputs'!Q$157-'I2 CBA Inputs'!Q162,0)+IF(Scenario_Select="Scenario 2",'I2 CBA Inputs'!Q$166-'I2 CBA Inputs'!Q171,0)+IF(Scenario_Select="Scenario 3",'I2 CBA Inputs'!Q$175-'I2 CBA Inputs'!Q180,0)+IF(Scenario_Select="Scenario 4",'I2 CBA Inputs'!Q$184-'I2 CBA Inputs'!Q189,0)),0)</f>
        <v>0</v>
      </c>
      <c r="S118" s="18">
        <f>IFERROR('I1 General Inputs'!$A19*(IF(Scenario_Select="Scenario 1",'I2 CBA Inputs'!R$157-'I2 CBA Inputs'!R162,0)+IF(Scenario_Select="Scenario 2",'I2 CBA Inputs'!R$166-'I2 CBA Inputs'!R171,0)+IF(Scenario_Select="Scenario 3",'I2 CBA Inputs'!R$175-'I2 CBA Inputs'!R180,0)+IF(Scenario_Select="Scenario 4",'I2 CBA Inputs'!R$184-'I2 CBA Inputs'!R189,0)),0)</f>
        <v>0</v>
      </c>
      <c r="T118" s="18">
        <f>IFERROR('I1 General Inputs'!$A19*(IF(Scenario_Select="Scenario 1",'I2 CBA Inputs'!S$157-'I2 CBA Inputs'!S162,0)+IF(Scenario_Select="Scenario 2",'I2 CBA Inputs'!S$166-'I2 CBA Inputs'!S171,0)+IF(Scenario_Select="Scenario 3",'I2 CBA Inputs'!S$175-'I2 CBA Inputs'!S180,0)+IF(Scenario_Select="Scenario 4",'I2 CBA Inputs'!S$184-'I2 CBA Inputs'!S189,0)),0)</f>
        <v>0</v>
      </c>
      <c r="U118" s="18">
        <f>IFERROR('I1 General Inputs'!$A19*(IF(Scenario_Select="Scenario 1",'I2 CBA Inputs'!T$157-'I2 CBA Inputs'!T162,0)+IF(Scenario_Select="Scenario 2",'I2 CBA Inputs'!T$166-'I2 CBA Inputs'!T171,0)+IF(Scenario_Select="Scenario 3",'I2 CBA Inputs'!T$175-'I2 CBA Inputs'!T180,0)+IF(Scenario_Select="Scenario 4",'I2 CBA Inputs'!T$184-'I2 CBA Inputs'!T189,0)),0)</f>
        <v>0</v>
      </c>
      <c r="V118" s="18">
        <f>IFERROR('I1 General Inputs'!$A19*(IF(Scenario_Select="Scenario 1",'I2 CBA Inputs'!U$157-'I2 CBA Inputs'!U162,0)+IF(Scenario_Select="Scenario 2",'I2 CBA Inputs'!U$166-'I2 CBA Inputs'!U171,0)+IF(Scenario_Select="Scenario 3",'I2 CBA Inputs'!U$175-'I2 CBA Inputs'!U180,0)+IF(Scenario_Select="Scenario 4",'I2 CBA Inputs'!U$184-'I2 CBA Inputs'!U189,0)),0)</f>
        <v>0</v>
      </c>
      <c r="W118" s="18">
        <f>IFERROR('I1 General Inputs'!$A19*(IF(Scenario_Select="Scenario 1",'I2 CBA Inputs'!V$157-'I2 CBA Inputs'!V162,0)+IF(Scenario_Select="Scenario 2",'I2 CBA Inputs'!V$166-'I2 CBA Inputs'!V171,0)+IF(Scenario_Select="Scenario 3",'I2 CBA Inputs'!V$175-'I2 CBA Inputs'!V180,0)+IF(Scenario_Select="Scenario 4",'I2 CBA Inputs'!V$184-'I2 CBA Inputs'!V189,0)),0)</f>
        <v>0</v>
      </c>
      <c r="X118" s="18">
        <f>IFERROR('I1 General Inputs'!$A19*(IF(Scenario_Select="Scenario 1",'I2 CBA Inputs'!W$157-'I2 CBA Inputs'!W162,0)+IF(Scenario_Select="Scenario 2",'I2 CBA Inputs'!W$166-'I2 CBA Inputs'!W171,0)+IF(Scenario_Select="Scenario 3",'I2 CBA Inputs'!W$175-'I2 CBA Inputs'!W180,0)+IF(Scenario_Select="Scenario 4",'I2 CBA Inputs'!W$184-'I2 CBA Inputs'!W189,0)),0)</f>
        <v>0</v>
      </c>
      <c r="Y118" s="18">
        <f>IFERROR('I1 General Inputs'!$A19*(IF(Scenario_Select="Scenario 1",'I2 CBA Inputs'!X$157-'I2 CBA Inputs'!X162,0)+IF(Scenario_Select="Scenario 2",'I2 CBA Inputs'!X$166-'I2 CBA Inputs'!X171,0)+IF(Scenario_Select="Scenario 3",'I2 CBA Inputs'!X$175-'I2 CBA Inputs'!X180,0)+IF(Scenario_Select="Scenario 4",'I2 CBA Inputs'!X$184-'I2 CBA Inputs'!X189,0)),0)</f>
        <v>0</v>
      </c>
      <c r="Z118" s="18">
        <f>IFERROR('I1 General Inputs'!$A19*(IF(Scenario_Select="Scenario 1",'I2 CBA Inputs'!Y$157-'I2 CBA Inputs'!Y162,0)+IF(Scenario_Select="Scenario 2",'I2 CBA Inputs'!Y$166-'I2 CBA Inputs'!Y171,0)+IF(Scenario_Select="Scenario 3",'I2 CBA Inputs'!Y$175-'I2 CBA Inputs'!Y180,0)+IF(Scenario_Select="Scenario 4",'I2 CBA Inputs'!Y$184-'I2 CBA Inputs'!Y189,0)),0)</f>
        <v>0</v>
      </c>
      <c r="AA118" s="18">
        <f>IFERROR('I1 General Inputs'!$A19*(IF(Scenario_Select="Scenario 1",'I2 CBA Inputs'!Z$157-'I2 CBA Inputs'!Z162,0)+IF(Scenario_Select="Scenario 2",'I2 CBA Inputs'!Z$166-'I2 CBA Inputs'!Z171,0)+IF(Scenario_Select="Scenario 3",'I2 CBA Inputs'!Z$175-'I2 CBA Inputs'!Z180,0)+IF(Scenario_Select="Scenario 4",'I2 CBA Inputs'!Z$184-'I2 CBA Inputs'!Z189,0)),0)</f>
        <v>0</v>
      </c>
      <c r="AB118" s="18">
        <f>IFERROR('I1 General Inputs'!$A19*(IF(Scenario_Select="Scenario 1",'I2 CBA Inputs'!AA$157-'I2 CBA Inputs'!AA162,0)+IF(Scenario_Select="Scenario 2",'I2 CBA Inputs'!AA$166-'I2 CBA Inputs'!AA171,0)+IF(Scenario_Select="Scenario 3",'I2 CBA Inputs'!AA$175-'I2 CBA Inputs'!AA180,0)+IF(Scenario_Select="Scenario 4",'I2 CBA Inputs'!AA$184-'I2 CBA Inputs'!AA189,0)),0)</f>
        <v>0</v>
      </c>
      <c r="AC118" s="18">
        <f>IFERROR('I1 General Inputs'!$A19*(IF(Scenario_Select="Scenario 1",'I2 CBA Inputs'!AB$157-'I2 CBA Inputs'!AB162,0)+IF(Scenario_Select="Scenario 2",'I2 CBA Inputs'!AB$166-'I2 CBA Inputs'!AB171,0)+IF(Scenario_Select="Scenario 3",'I2 CBA Inputs'!AB$175-'I2 CBA Inputs'!AB180,0)+IF(Scenario_Select="Scenario 4",'I2 CBA Inputs'!AB$184-'I2 CBA Inputs'!AB189,0)),0)</f>
        <v>0</v>
      </c>
      <c r="AD118" s="18">
        <f>IFERROR('I1 General Inputs'!$A19*(IF(Scenario_Select="Scenario 1",'I2 CBA Inputs'!AC$157-'I2 CBA Inputs'!AC162,0)+IF(Scenario_Select="Scenario 2",'I2 CBA Inputs'!AC$166-'I2 CBA Inputs'!AC171,0)+IF(Scenario_Select="Scenario 3",'I2 CBA Inputs'!AC$175-'I2 CBA Inputs'!AC180,0)+IF(Scenario_Select="Scenario 4",'I2 CBA Inputs'!AC$184-'I2 CBA Inputs'!AC189,0)),0)</f>
        <v>0</v>
      </c>
      <c r="AE118" s="18">
        <f>IFERROR('I1 General Inputs'!$A19*(IF(Scenario_Select="Scenario 1",'I2 CBA Inputs'!AD$157-'I2 CBA Inputs'!AD162,0)+IF(Scenario_Select="Scenario 2",'I2 CBA Inputs'!AD$166-'I2 CBA Inputs'!AD171,0)+IF(Scenario_Select="Scenario 3",'I2 CBA Inputs'!AD$175-'I2 CBA Inputs'!AD180,0)+IF(Scenario_Select="Scenario 4",'I2 CBA Inputs'!AD$184-'I2 CBA Inputs'!AD189,0)),0)</f>
        <v>0</v>
      </c>
      <c r="AF118" s="18">
        <f>'I1 General Inputs'!$A19*(IF(Scenario_Select="Scenario 1",'I2 CBA Inputs'!AE$157-'I2 CBA Inputs'!AE162,0)+IF(Scenario_Select="Scenario 2",'I2 CBA Inputs'!AE$166-'I2 CBA Inputs'!AE171,0)+IF(Scenario_Select="Scenario 3",'I2 CBA Inputs'!AE$175-'I2 CBA Inputs'!AE180,0)+IF(Scenario_Select="Scenario 4",'I2 CBA Inputs'!AE$184-'I2 CBA Inputs'!AE189,0))</f>
        <v>0</v>
      </c>
      <c r="AG118" s="18">
        <f>'I1 General Inputs'!$A19*(IF(Scenario_Select="Scenario 1",'I2 CBA Inputs'!AF$157-'I2 CBA Inputs'!AF162,0)+IF(Scenario_Select="Scenario 2",'I2 CBA Inputs'!AF$166-'I2 CBA Inputs'!AF171,0)+IF(Scenario_Select="Scenario 3",'I2 CBA Inputs'!AF$175-'I2 CBA Inputs'!AF180,0)+IF(Scenario_Select="Scenario 4",'I2 CBA Inputs'!AF$184-'I2 CBA Inputs'!AF189,0))</f>
        <v>0</v>
      </c>
      <c r="AH118" s="18">
        <f>'I1 General Inputs'!$A19*(IF(Scenario_Select="Scenario 1",'I2 CBA Inputs'!AG$157-'I2 CBA Inputs'!AG162,0)+IF(Scenario_Select="Scenario 2",'I2 CBA Inputs'!AG$166-'I2 CBA Inputs'!AG171,0)+IF(Scenario_Select="Scenario 3",'I2 CBA Inputs'!AG$175-'I2 CBA Inputs'!AG180,0)+IF(Scenario_Select="Scenario 4",'I2 CBA Inputs'!AG$184-'I2 CBA Inputs'!AG189,0))</f>
        <v>0</v>
      </c>
      <c r="AI118" s="18">
        <f>'I1 General Inputs'!$A19*(IF(Scenario_Select="Scenario 1",'I2 CBA Inputs'!AH$157-'I2 CBA Inputs'!AH162,0)+IF(Scenario_Select="Scenario 2",'I2 CBA Inputs'!AH$166-'I2 CBA Inputs'!AH171,0)+IF(Scenario_Select="Scenario 3",'I2 CBA Inputs'!AH$175-'I2 CBA Inputs'!AH180,0)+IF(Scenario_Select="Scenario 4",'I2 CBA Inputs'!AH$184-'I2 CBA Inputs'!AH189,0))</f>
        <v>0</v>
      </c>
      <c r="AJ118" s="18">
        <f>'I1 General Inputs'!$A19*(IF(Scenario_Select="Scenario 1",'I2 CBA Inputs'!AI$157-'I2 CBA Inputs'!AI162,0)+IF(Scenario_Select="Scenario 2",'I2 CBA Inputs'!AI$166-'I2 CBA Inputs'!AI171,0)+IF(Scenario_Select="Scenario 3",'I2 CBA Inputs'!AI$175-'I2 CBA Inputs'!AI180,0)+IF(Scenario_Select="Scenario 4",'I2 CBA Inputs'!AI$184-'I2 CBA Inputs'!AI189,0))</f>
        <v>0</v>
      </c>
    </row>
    <row r="119" spans="2:36" x14ac:dyDescent="0.2">
      <c r="B119" s="9">
        <f>+'I1 General Inputs'!$B$20</f>
        <v>6</v>
      </c>
      <c r="C119" s="15" t="str">
        <f>+'I1 General Inputs'!$C$20</f>
        <v>Option 5B</v>
      </c>
      <c r="D119" s="28"/>
      <c r="E119" s="13" t="s">
        <v>35</v>
      </c>
      <c r="F119" s="19">
        <f t="shared" si="31"/>
        <v>1922833.0776816758</v>
      </c>
      <c r="G119" s="18">
        <f>IFERROR('I1 General Inputs'!$A20*(IF(Scenario_Select="Scenario 1",'I2 CBA Inputs'!F$157-'I2 CBA Inputs'!F163,0)+IF(Scenario_Select="Scenario 2",'I2 CBA Inputs'!F$166-'I2 CBA Inputs'!F172,0)+IF(Scenario_Select="Scenario 3",'I2 CBA Inputs'!F$175-'I2 CBA Inputs'!F181,0)+IF(Scenario_Select="Scenario 4",'I2 CBA Inputs'!F$184-'I2 CBA Inputs'!F190,0)),0)</f>
        <v>0</v>
      </c>
      <c r="H119" s="18">
        <f>IFERROR('I1 General Inputs'!$A20*(IF(Scenario_Select="Scenario 1",'I2 CBA Inputs'!G$157-'I2 CBA Inputs'!G163,0)+IF(Scenario_Select="Scenario 2",'I2 CBA Inputs'!G$166-'I2 CBA Inputs'!G172,0)+IF(Scenario_Select="Scenario 3",'I2 CBA Inputs'!G$175-'I2 CBA Inputs'!G181,0)+IF(Scenario_Select="Scenario 4",'I2 CBA Inputs'!G$184-'I2 CBA Inputs'!G190,0)),0)</f>
        <v>1.2195498649962246</v>
      </c>
      <c r="I119" s="18">
        <f>IFERROR('I1 General Inputs'!$A20*(IF(Scenario_Select="Scenario 1",'I2 CBA Inputs'!H$157-'I2 CBA Inputs'!H163,0)+IF(Scenario_Select="Scenario 2",'I2 CBA Inputs'!H$166-'I2 CBA Inputs'!H172,0)+IF(Scenario_Select="Scenario 3",'I2 CBA Inputs'!H$175-'I2 CBA Inputs'!H181,0)+IF(Scenario_Select="Scenario 4",'I2 CBA Inputs'!H$184-'I2 CBA Inputs'!H190,0)),0)</f>
        <v>1.2650832319632173</v>
      </c>
      <c r="J119" s="18">
        <f>IFERROR('I1 General Inputs'!$A20*(IF(Scenario_Select="Scenario 1",'I2 CBA Inputs'!I$157-'I2 CBA Inputs'!I163,0)+IF(Scenario_Select="Scenario 2",'I2 CBA Inputs'!I$166-'I2 CBA Inputs'!I172,0)+IF(Scenario_Select="Scenario 3",'I2 CBA Inputs'!I$175-'I2 CBA Inputs'!I181,0)+IF(Scenario_Select="Scenario 4",'I2 CBA Inputs'!I$184-'I2 CBA Inputs'!I190,0)),0)</f>
        <v>1889.8132550157607</v>
      </c>
      <c r="K119" s="18">
        <f>IFERROR('I1 General Inputs'!$A20*(IF(Scenario_Select="Scenario 1",'I2 CBA Inputs'!J$157-'I2 CBA Inputs'!J163,0)+IF(Scenario_Select="Scenario 2",'I2 CBA Inputs'!J$166-'I2 CBA Inputs'!J172,0)+IF(Scenario_Select="Scenario 3",'I2 CBA Inputs'!J$175-'I2 CBA Inputs'!J181,0)+IF(Scenario_Select="Scenario 4",'I2 CBA Inputs'!J$184-'I2 CBA Inputs'!J190,0)),0)</f>
        <v>-49308.168942882679</v>
      </c>
      <c r="L119" s="18">
        <f>IFERROR('I1 General Inputs'!$A20*(IF(Scenario_Select="Scenario 1",'I2 CBA Inputs'!K$157-'I2 CBA Inputs'!K163,0)+IF(Scenario_Select="Scenario 2",'I2 CBA Inputs'!K$166-'I2 CBA Inputs'!K172,0)+IF(Scenario_Select="Scenario 3",'I2 CBA Inputs'!K$175-'I2 CBA Inputs'!K181,0)+IF(Scenario_Select="Scenario 4",'I2 CBA Inputs'!K$184-'I2 CBA Inputs'!K190,0)),0)</f>
        <v>71410.417663769796</v>
      </c>
      <c r="M119" s="18">
        <f>IFERROR('I1 General Inputs'!$A20*(IF(Scenario_Select="Scenario 1",'I2 CBA Inputs'!L$157-'I2 CBA Inputs'!L163,0)+IF(Scenario_Select="Scenario 2",'I2 CBA Inputs'!L$166-'I2 CBA Inputs'!L172,0)+IF(Scenario_Select="Scenario 3",'I2 CBA Inputs'!L$175-'I2 CBA Inputs'!L181,0)+IF(Scenario_Select="Scenario 4",'I2 CBA Inputs'!L$184-'I2 CBA Inputs'!L190,0)),0)</f>
        <v>1.6327061698600058</v>
      </c>
      <c r="N119" s="18">
        <f>IFERROR('I1 General Inputs'!$A20*(IF(Scenario_Select="Scenario 1",'I2 CBA Inputs'!M$157-'I2 CBA Inputs'!M163,0)+IF(Scenario_Select="Scenario 2",'I2 CBA Inputs'!M$166-'I2 CBA Inputs'!M172,0)+IF(Scenario_Select="Scenario 3",'I2 CBA Inputs'!M$175-'I2 CBA Inputs'!M181,0)+IF(Scenario_Select="Scenario 4",'I2 CBA Inputs'!M$184-'I2 CBA Inputs'!M190,0)),0)</f>
        <v>2854.5545428070436</v>
      </c>
      <c r="O119" s="18">
        <f>IFERROR('I1 General Inputs'!$A20*(IF(Scenario_Select="Scenario 1",'I2 CBA Inputs'!N$157-'I2 CBA Inputs'!N163,0)+IF(Scenario_Select="Scenario 2",'I2 CBA Inputs'!N$166-'I2 CBA Inputs'!N172,0)+IF(Scenario_Select="Scenario 3",'I2 CBA Inputs'!N$175-'I2 CBA Inputs'!N181,0)+IF(Scenario_Select="Scenario 4",'I2 CBA Inputs'!N$184-'I2 CBA Inputs'!N190,0)),0)</f>
        <v>809.64332208652013</v>
      </c>
      <c r="P119" s="18">
        <f>IFERROR('I1 General Inputs'!$A20*(IF(Scenario_Select="Scenario 1",'I2 CBA Inputs'!O$157-'I2 CBA Inputs'!O163,0)+IF(Scenario_Select="Scenario 2",'I2 CBA Inputs'!O$166-'I2 CBA Inputs'!O172,0)+IF(Scenario_Select="Scenario 3",'I2 CBA Inputs'!O$175-'I2 CBA Inputs'!O181,0)+IF(Scenario_Select="Scenario 4",'I2 CBA Inputs'!O$184-'I2 CBA Inputs'!O190,0)),0)</f>
        <v>-15802.824217015645</v>
      </c>
      <c r="Q119" s="18">
        <f>IFERROR('I1 General Inputs'!$A20*(IF(Scenario_Select="Scenario 1",'I2 CBA Inputs'!P$157-'I2 CBA Inputs'!P163,0)+IF(Scenario_Select="Scenario 2",'I2 CBA Inputs'!P$166-'I2 CBA Inputs'!P172,0)+IF(Scenario_Select="Scenario 3",'I2 CBA Inputs'!P$175-'I2 CBA Inputs'!P181,0)+IF(Scenario_Select="Scenario 4",'I2 CBA Inputs'!P$184-'I2 CBA Inputs'!P190,0)),0)</f>
        <v>17943.897672608029</v>
      </c>
      <c r="R119" s="18">
        <f>IFERROR('I1 General Inputs'!$A20*(IF(Scenario_Select="Scenario 1",'I2 CBA Inputs'!Q$157-'I2 CBA Inputs'!Q163,0)+IF(Scenario_Select="Scenario 2",'I2 CBA Inputs'!Q$166-'I2 CBA Inputs'!Q172,0)+IF(Scenario_Select="Scenario 3",'I2 CBA Inputs'!Q$175-'I2 CBA Inputs'!Q181,0)+IF(Scenario_Select="Scenario 4",'I2 CBA Inputs'!Q$184-'I2 CBA Inputs'!Q190,0)),0)</f>
        <v>256074.3958920117</v>
      </c>
      <c r="S119" s="18">
        <f>IFERROR('I1 General Inputs'!$A20*(IF(Scenario_Select="Scenario 1",'I2 CBA Inputs'!R$157-'I2 CBA Inputs'!R163,0)+IF(Scenario_Select="Scenario 2",'I2 CBA Inputs'!R$166-'I2 CBA Inputs'!R172,0)+IF(Scenario_Select="Scenario 3",'I2 CBA Inputs'!R$175-'I2 CBA Inputs'!R181,0)+IF(Scenario_Select="Scenario 4",'I2 CBA Inputs'!R$184-'I2 CBA Inputs'!R190,0)),0)</f>
        <v>14550.434004363371</v>
      </c>
      <c r="T119" s="18">
        <f>IFERROR('I1 General Inputs'!$A20*(IF(Scenario_Select="Scenario 1",'I2 CBA Inputs'!S$157-'I2 CBA Inputs'!S163,0)+IF(Scenario_Select="Scenario 2",'I2 CBA Inputs'!S$166-'I2 CBA Inputs'!S172,0)+IF(Scenario_Select="Scenario 3",'I2 CBA Inputs'!S$175-'I2 CBA Inputs'!S181,0)+IF(Scenario_Select="Scenario 4",'I2 CBA Inputs'!S$184-'I2 CBA Inputs'!S190,0)),0)</f>
        <v>380598.99168448895</v>
      </c>
      <c r="U119" s="18">
        <f>IFERROR('I1 General Inputs'!$A20*(IF(Scenario_Select="Scenario 1",'I2 CBA Inputs'!T$157-'I2 CBA Inputs'!T163,0)+IF(Scenario_Select="Scenario 2",'I2 CBA Inputs'!T$166-'I2 CBA Inputs'!T172,0)+IF(Scenario_Select="Scenario 3",'I2 CBA Inputs'!T$175-'I2 CBA Inputs'!T181,0)+IF(Scenario_Select="Scenario 4",'I2 CBA Inputs'!T$184-'I2 CBA Inputs'!T190,0)),0)</f>
        <v>779828.08795221569</v>
      </c>
      <c r="V119" s="18">
        <f>IFERROR('I1 General Inputs'!$A20*(IF(Scenario_Select="Scenario 1",'I2 CBA Inputs'!U$157-'I2 CBA Inputs'!U163,0)+IF(Scenario_Select="Scenario 2",'I2 CBA Inputs'!U$166-'I2 CBA Inputs'!U172,0)+IF(Scenario_Select="Scenario 3",'I2 CBA Inputs'!U$175-'I2 CBA Inputs'!U181,0)+IF(Scenario_Select="Scenario 4",'I2 CBA Inputs'!U$184-'I2 CBA Inputs'!U190,0)),0)</f>
        <v>-271725.32943290658</v>
      </c>
      <c r="W119" s="18">
        <f>IFERROR('I1 General Inputs'!$A20*(IF(Scenario_Select="Scenario 1",'I2 CBA Inputs'!V$157-'I2 CBA Inputs'!V163,0)+IF(Scenario_Select="Scenario 2",'I2 CBA Inputs'!V$166-'I2 CBA Inputs'!V172,0)+IF(Scenario_Select="Scenario 3",'I2 CBA Inputs'!V$175-'I2 CBA Inputs'!V181,0)+IF(Scenario_Select="Scenario 4",'I2 CBA Inputs'!V$184-'I2 CBA Inputs'!V190,0)),0)</f>
        <v>2007345.7908135075</v>
      </c>
      <c r="X119" s="18">
        <f>IFERROR('I1 General Inputs'!$A20*(IF(Scenario_Select="Scenario 1",'I2 CBA Inputs'!W$157-'I2 CBA Inputs'!W163,0)+IF(Scenario_Select="Scenario 2",'I2 CBA Inputs'!W$166-'I2 CBA Inputs'!W172,0)+IF(Scenario_Select="Scenario 3",'I2 CBA Inputs'!W$175-'I2 CBA Inputs'!W181,0)+IF(Scenario_Select="Scenario 4",'I2 CBA Inputs'!W$184-'I2 CBA Inputs'!W190,0)),0)</f>
        <v>-4312.0778524972811</v>
      </c>
      <c r="Y119" s="18">
        <f>IFERROR('I1 General Inputs'!$A20*(IF(Scenario_Select="Scenario 1",'I2 CBA Inputs'!X$157-'I2 CBA Inputs'!X163,0)+IF(Scenario_Select="Scenario 2",'I2 CBA Inputs'!X$166-'I2 CBA Inputs'!X172,0)+IF(Scenario_Select="Scenario 3",'I2 CBA Inputs'!X$175-'I2 CBA Inputs'!X181,0)+IF(Scenario_Select="Scenario 4",'I2 CBA Inputs'!X$184-'I2 CBA Inputs'!X190,0)),0)</f>
        <v>-57273.355591592102</v>
      </c>
      <c r="Z119" s="18">
        <f>IFERROR('I1 General Inputs'!$A20*(IF(Scenario_Select="Scenario 1",'I2 CBA Inputs'!Y$157-'I2 CBA Inputs'!Y163,0)+IF(Scenario_Select="Scenario 2",'I2 CBA Inputs'!Y$166-'I2 CBA Inputs'!Y172,0)+IF(Scenario_Select="Scenario 3",'I2 CBA Inputs'!Y$175-'I2 CBA Inputs'!Y181,0)+IF(Scenario_Select="Scenario 4",'I2 CBA Inputs'!Y$184-'I2 CBA Inputs'!Y190,0)),0)</f>
        <v>-279317.2082614582</v>
      </c>
      <c r="AA119" s="18">
        <f>IFERROR('I1 General Inputs'!$A20*(IF(Scenario_Select="Scenario 1",'I2 CBA Inputs'!Z$157-'I2 CBA Inputs'!Z163,0)+IF(Scenario_Select="Scenario 2",'I2 CBA Inputs'!Z$166-'I2 CBA Inputs'!Z172,0)+IF(Scenario_Select="Scenario 3",'I2 CBA Inputs'!Z$175-'I2 CBA Inputs'!Z181,0)+IF(Scenario_Select="Scenario 4",'I2 CBA Inputs'!Z$184-'I2 CBA Inputs'!Z190,0)),0)</f>
        <v>2922913.5290747955</v>
      </c>
      <c r="AB119" s="18">
        <f>IFERROR('I1 General Inputs'!$A20*(IF(Scenario_Select="Scenario 1",'I2 CBA Inputs'!AA$157-'I2 CBA Inputs'!AA163,0)+IF(Scenario_Select="Scenario 2",'I2 CBA Inputs'!AA$166-'I2 CBA Inputs'!AA172,0)+IF(Scenario_Select="Scenario 3",'I2 CBA Inputs'!AA$175-'I2 CBA Inputs'!AA181,0)+IF(Scenario_Select="Scenario 4",'I2 CBA Inputs'!AA$184-'I2 CBA Inputs'!AA190,0)),0)</f>
        <v>-4042192.9040982518</v>
      </c>
      <c r="AC119" s="18">
        <f>IFERROR('I1 General Inputs'!$A20*(IF(Scenario_Select="Scenario 1",'I2 CBA Inputs'!AB$157-'I2 CBA Inputs'!AB163,0)+IF(Scenario_Select="Scenario 2",'I2 CBA Inputs'!AB$166-'I2 CBA Inputs'!AB172,0)+IF(Scenario_Select="Scenario 3",'I2 CBA Inputs'!AB$175-'I2 CBA Inputs'!AB181,0)+IF(Scenario_Select="Scenario 4",'I2 CBA Inputs'!AB$184-'I2 CBA Inputs'!AB190,0)),0)</f>
        <v>2756000.5342854457</v>
      </c>
      <c r="AD119" s="18">
        <f>IFERROR('I1 General Inputs'!$A20*(IF(Scenario_Select="Scenario 1",'I2 CBA Inputs'!AC$157-'I2 CBA Inputs'!AC163,0)+IF(Scenario_Select="Scenario 2",'I2 CBA Inputs'!AC$166-'I2 CBA Inputs'!AC172,0)+IF(Scenario_Select="Scenario 3",'I2 CBA Inputs'!AC$175-'I2 CBA Inputs'!AC181,0)+IF(Scenario_Select="Scenario 4",'I2 CBA Inputs'!AC$184-'I2 CBA Inputs'!AC190,0)),0)</f>
        <v>198469.75067771971</v>
      </c>
      <c r="AE119" s="18">
        <f>IFERROR('I1 General Inputs'!$A20*(IF(Scenario_Select="Scenario 1",'I2 CBA Inputs'!AD$157-'I2 CBA Inputs'!AD163,0)+IF(Scenario_Select="Scenario 2",'I2 CBA Inputs'!AD$166-'I2 CBA Inputs'!AD172,0)+IF(Scenario_Select="Scenario 3",'I2 CBA Inputs'!AD$175-'I2 CBA Inputs'!AD181,0)+IF(Scenario_Select="Scenario 4",'I2 CBA Inputs'!AD$184-'I2 CBA Inputs'!AD190,0)),0)</f>
        <v>431095.1380863823</v>
      </c>
      <c r="AF119" s="18">
        <f>'I1 General Inputs'!$A20*(IF(Scenario_Select="Scenario 1",'I2 CBA Inputs'!AE$157-'I2 CBA Inputs'!AE163,0)+IF(Scenario_Select="Scenario 2",'I2 CBA Inputs'!AE$166-'I2 CBA Inputs'!AE172,0)+IF(Scenario_Select="Scenario 3",'I2 CBA Inputs'!AE$175-'I2 CBA Inputs'!AE181,0)+IF(Scenario_Select="Scenario 4",'I2 CBA Inputs'!AE$184-'I2 CBA Inputs'!AE190,0))</f>
        <v>5.3167066432932817</v>
      </c>
      <c r="AG119" s="18">
        <f>'I1 General Inputs'!$A20*(IF(Scenario_Select="Scenario 1",'I2 CBA Inputs'!AF$157-'I2 CBA Inputs'!AF163,0)+IF(Scenario_Select="Scenario 2",'I2 CBA Inputs'!AF$166-'I2 CBA Inputs'!AF172,0)+IF(Scenario_Select="Scenario 3",'I2 CBA Inputs'!AF$175-'I2 CBA Inputs'!AF181,0)+IF(Scenario_Select="Scenario 4",'I2 CBA Inputs'!AF$184-'I2 CBA Inputs'!AF190,0))</f>
        <v>0</v>
      </c>
      <c r="AH119" s="18">
        <f>'I1 General Inputs'!$A20*(IF(Scenario_Select="Scenario 1",'I2 CBA Inputs'!AG$157-'I2 CBA Inputs'!AG163,0)+IF(Scenario_Select="Scenario 2",'I2 CBA Inputs'!AG$166-'I2 CBA Inputs'!AG172,0)+IF(Scenario_Select="Scenario 3",'I2 CBA Inputs'!AG$175-'I2 CBA Inputs'!AG181,0)+IF(Scenario_Select="Scenario 4",'I2 CBA Inputs'!AG$184-'I2 CBA Inputs'!AG190,0))</f>
        <v>0</v>
      </c>
      <c r="AI119" s="18">
        <f>'I1 General Inputs'!$A20*(IF(Scenario_Select="Scenario 1",'I2 CBA Inputs'!AH$157-'I2 CBA Inputs'!AH163,0)+IF(Scenario_Select="Scenario 2",'I2 CBA Inputs'!AH$166-'I2 CBA Inputs'!AH172,0)+IF(Scenario_Select="Scenario 3",'I2 CBA Inputs'!AH$175-'I2 CBA Inputs'!AH181,0)+IF(Scenario_Select="Scenario 4",'I2 CBA Inputs'!AH$184-'I2 CBA Inputs'!AH190,0))</f>
        <v>0</v>
      </c>
      <c r="AJ119" s="18">
        <f>'I1 General Inputs'!$A20*(IF(Scenario_Select="Scenario 1",'I2 CBA Inputs'!AI$157-'I2 CBA Inputs'!AI163,0)+IF(Scenario_Select="Scenario 2",'I2 CBA Inputs'!AI$166-'I2 CBA Inputs'!AI172,0)+IF(Scenario_Select="Scenario 3",'I2 CBA Inputs'!AI$175-'I2 CBA Inputs'!AI181,0)+IF(Scenario_Select="Scenario 4",'I2 CBA Inputs'!AI$184-'I2 CBA Inputs'!AI190,0))</f>
        <v>0</v>
      </c>
    </row>
    <row r="121" spans="2:36" ht="15.75" x14ac:dyDescent="0.25">
      <c r="B121" s="5" t="str">
        <f>+'I2 CBA Inputs'!B192</f>
        <v>Costs for non RIT-T proponent parties</v>
      </c>
      <c r="C121" s="30"/>
      <c r="D121" s="30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</row>
    <row r="122" spans="2:36" ht="15.75" x14ac:dyDescent="0.25">
      <c r="B122" s="7" t="s">
        <v>14</v>
      </c>
      <c r="C122" s="11" t="s">
        <v>13</v>
      </c>
      <c r="D122" s="11"/>
      <c r="E122" s="8" t="s">
        <v>22</v>
      </c>
      <c r="F122" s="8" t="s">
        <v>37</v>
      </c>
      <c r="G122" s="7">
        <f t="shared" ref="G122:AJ122" si="32">G$7</f>
        <v>2020</v>
      </c>
      <c r="H122" s="7">
        <f t="shared" si="32"/>
        <v>2021</v>
      </c>
      <c r="I122" s="7">
        <f t="shared" si="32"/>
        <v>2022</v>
      </c>
      <c r="J122" s="7">
        <f t="shared" si="32"/>
        <v>2023</v>
      </c>
      <c r="K122" s="7">
        <f t="shared" si="32"/>
        <v>2024</v>
      </c>
      <c r="L122" s="7">
        <f t="shared" si="32"/>
        <v>2025</v>
      </c>
      <c r="M122" s="7">
        <f t="shared" si="32"/>
        <v>2026</v>
      </c>
      <c r="N122" s="7">
        <f t="shared" si="32"/>
        <v>2027</v>
      </c>
      <c r="O122" s="7">
        <f t="shared" si="32"/>
        <v>2028</v>
      </c>
      <c r="P122" s="7">
        <f t="shared" si="32"/>
        <v>2029</v>
      </c>
      <c r="Q122" s="7">
        <f t="shared" si="32"/>
        <v>2030</v>
      </c>
      <c r="R122" s="7">
        <f t="shared" si="32"/>
        <v>2031</v>
      </c>
      <c r="S122" s="7">
        <f t="shared" si="32"/>
        <v>2032</v>
      </c>
      <c r="T122" s="7">
        <f t="shared" si="32"/>
        <v>2033</v>
      </c>
      <c r="U122" s="7">
        <f t="shared" si="32"/>
        <v>2034</v>
      </c>
      <c r="V122" s="7">
        <f t="shared" si="32"/>
        <v>2035</v>
      </c>
      <c r="W122" s="7">
        <f t="shared" si="32"/>
        <v>2036</v>
      </c>
      <c r="X122" s="7">
        <f t="shared" si="32"/>
        <v>2037</v>
      </c>
      <c r="Y122" s="7">
        <f t="shared" si="32"/>
        <v>2038</v>
      </c>
      <c r="Z122" s="7">
        <f t="shared" si="32"/>
        <v>2039</v>
      </c>
      <c r="AA122" s="7">
        <f t="shared" si="32"/>
        <v>2040</v>
      </c>
      <c r="AB122" s="7">
        <f t="shared" si="32"/>
        <v>2041</v>
      </c>
      <c r="AC122" s="7">
        <f t="shared" si="32"/>
        <v>2042</v>
      </c>
      <c r="AD122" s="7">
        <f t="shared" si="32"/>
        <v>2043</v>
      </c>
      <c r="AE122" s="7">
        <f t="shared" si="32"/>
        <v>2044</v>
      </c>
      <c r="AF122" s="7">
        <f t="shared" si="32"/>
        <v>2045</v>
      </c>
      <c r="AG122" s="7">
        <f t="shared" si="32"/>
        <v>0</v>
      </c>
      <c r="AH122" s="7">
        <f t="shared" si="32"/>
        <v>0</v>
      </c>
      <c r="AI122" s="7">
        <f t="shared" si="32"/>
        <v>0</v>
      </c>
      <c r="AJ122" s="7">
        <f t="shared" si="32"/>
        <v>0</v>
      </c>
    </row>
    <row r="123" spans="2:36" x14ac:dyDescent="0.2">
      <c r="B123" s="9">
        <f>+'I1 General Inputs'!$B$15</f>
        <v>1</v>
      </c>
      <c r="C123" s="15" t="str">
        <f>+'I1 General Inputs'!$C$15</f>
        <v>Option 1A</v>
      </c>
      <c r="D123" s="28"/>
      <c r="E123" s="13" t="s">
        <v>35</v>
      </c>
      <c r="F123" s="19">
        <f t="shared" ref="F123:F128" si="33">NPV(DiscountRate,G123:AJ123)/(1+DiscountRate)^(FirstYear-BaseYear-2)</f>
        <v>285792624.26463562</v>
      </c>
      <c r="G123" s="18">
        <f>IFERROR('I1 General Inputs'!$A15*(IF(Scenario_Select="Scenario 1",'I2 CBA Inputs'!F$195-'I2 CBA Inputs'!F196,0)+IF(Scenario_Select="Scenario 2",'I2 CBA Inputs'!F$204-'I2 CBA Inputs'!F205,0)+IF(Scenario_Select="Scenario 3",'I2 CBA Inputs'!F$213-'I2 CBA Inputs'!F214,0)+IF(Scenario_Select="Scenario 4",'I2 CBA Inputs'!F$222-'I2 CBA Inputs'!F223,0)),0)</f>
        <v>0</v>
      </c>
      <c r="H123" s="18">
        <f>IFERROR('I1 General Inputs'!$A15*(IF(Scenario_Select="Scenario 1",'I2 CBA Inputs'!G$195-'I2 CBA Inputs'!G196,0)+IF(Scenario_Select="Scenario 2",'I2 CBA Inputs'!G$204-'I2 CBA Inputs'!G205,0)+IF(Scenario_Select="Scenario 3",'I2 CBA Inputs'!G$213-'I2 CBA Inputs'!G214,0)+IF(Scenario_Select="Scenario 4",'I2 CBA Inputs'!G$222-'I2 CBA Inputs'!G223,0)),0)</f>
        <v>292.30119729042053</v>
      </c>
      <c r="I123" s="18">
        <f>IFERROR('I1 General Inputs'!$A15*(IF(Scenario_Select="Scenario 1",'I2 CBA Inputs'!H$195-'I2 CBA Inputs'!H196,0)+IF(Scenario_Select="Scenario 2",'I2 CBA Inputs'!H$204-'I2 CBA Inputs'!H205,0)+IF(Scenario_Select="Scenario 3",'I2 CBA Inputs'!H$213-'I2 CBA Inputs'!H214,0)+IF(Scenario_Select="Scenario 4",'I2 CBA Inputs'!H$222-'I2 CBA Inputs'!H223,0)),0)</f>
        <v>9028.8320907354355</v>
      </c>
      <c r="J123" s="18">
        <f>IFERROR('I1 General Inputs'!$A15*(IF(Scenario_Select="Scenario 1",'I2 CBA Inputs'!I$195-'I2 CBA Inputs'!I196,0)+IF(Scenario_Select="Scenario 2",'I2 CBA Inputs'!I$204-'I2 CBA Inputs'!I205,0)+IF(Scenario_Select="Scenario 3",'I2 CBA Inputs'!I$213-'I2 CBA Inputs'!I214,0)+IF(Scenario_Select="Scenario 4",'I2 CBA Inputs'!I$222-'I2 CBA Inputs'!I223,0)),0)</f>
        <v>169383789.03214383</v>
      </c>
      <c r="K123" s="18">
        <f>IFERROR('I1 General Inputs'!$A15*(IF(Scenario_Select="Scenario 1",'I2 CBA Inputs'!J$195-'I2 CBA Inputs'!J196,0)+IF(Scenario_Select="Scenario 2",'I2 CBA Inputs'!J$204-'I2 CBA Inputs'!J205,0)+IF(Scenario_Select="Scenario 3",'I2 CBA Inputs'!J$213-'I2 CBA Inputs'!J214,0)+IF(Scenario_Select="Scenario 4",'I2 CBA Inputs'!J$222-'I2 CBA Inputs'!J223,0)),0)</f>
        <v>-18098743.401870728</v>
      </c>
      <c r="L123" s="18">
        <f>IFERROR('I1 General Inputs'!$A15*(IF(Scenario_Select="Scenario 1",'I2 CBA Inputs'!K$195-'I2 CBA Inputs'!K196,0)+IF(Scenario_Select="Scenario 2",'I2 CBA Inputs'!K$204-'I2 CBA Inputs'!K205,0)+IF(Scenario_Select="Scenario 3",'I2 CBA Inputs'!K$213-'I2 CBA Inputs'!K214,0)+IF(Scenario_Select="Scenario 4",'I2 CBA Inputs'!K$222-'I2 CBA Inputs'!K223,0)),0)</f>
        <v>-385417.73529231548</v>
      </c>
      <c r="M123" s="18">
        <f>IFERROR('I1 General Inputs'!$A15*(IF(Scenario_Select="Scenario 1",'I2 CBA Inputs'!L$195-'I2 CBA Inputs'!L196,0)+IF(Scenario_Select="Scenario 2",'I2 CBA Inputs'!L$204-'I2 CBA Inputs'!L205,0)+IF(Scenario_Select="Scenario 3",'I2 CBA Inputs'!L$213-'I2 CBA Inputs'!L214,0)+IF(Scenario_Select="Scenario 4",'I2 CBA Inputs'!L$222-'I2 CBA Inputs'!L223,0)),0)</f>
        <v>1770349.2383952141</v>
      </c>
      <c r="N123" s="18">
        <f>IFERROR('I1 General Inputs'!$A15*(IF(Scenario_Select="Scenario 1",'I2 CBA Inputs'!M$195-'I2 CBA Inputs'!M196,0)+IF(Scenario_Select="Scenario 2",'I2 CBA Inputs'!M$204-'I2 CBA Inputs'!M205,0)+IF(Scenario_Select="Scenario 3",'I2 CBA Inputs'!M$213-'I2 CBA Inputs'!M214,0)+IF(Scenario_Select="Scenario 4",'I2 CBA Inputs'!M$222-'I2 CBA Inputs'!M223,0)),0)</f>
        <v>4618953.7076119184</v>
      </c>
      <c r="O123" s="18">
        <f>IFERROR('I1 General Inputs'!$A15*(IF(Scenario_Select="Scenario 1",'I2 CBA Inputs'!N$195-'I2 CBA Inputs'!N196,0)+IF(Scenario_Select="Scenario 2",'I2 CBA Inputs'!N$204-'I2 CBA Inputs'!N205,0)+IF(Scenario_Select="Scenario 3",'I2 CBA Inputs'!N$213-'I2 CBA Inputs'!N214,0)+IF(Scenario_Select="Scenario 4",'I2 CBA Inputs'!N$222-'I2 CBA Inputs'!N223,0)),0)</f>
        <v>5009381.1712803841</v>
      </c>
      <c r="P123" s="18">
        <f>IFERROR('I1 General Inputs'!$A15*(IF(Scenario_Select="Scenario 1",'I2 CBA Inputs'!O$195-'I2 CBA Inputs'!O196,0)+IF(Scenario_Select="Scenario 2",'I2 CBA Inputs'!O$204-'I2 CBA Inputs'!O205,0)+IF(Scenario_Select="Scenario 3",'I2 CBA Inputs'!O$213-'I2 CBA Inputs'!O214,0)+IF(Scenario_Select="Scenario 4",'I2 CBA Inputs'!O$222-'I2 CBA Inputs'!O223,0)),0)</f>
        <v>220232920.7079525</v>
      </c>
      <c r="Q123" s="18">
        <f>IFERROR('I1 General Inputs'!$A15*(IF(Scenario_Select="Scenario 1",'I2 CBA Inputs'!P$195-'I2 CBA Inputs'!P196,0)+IF(Scenario_Select="Scenario 2",'I2 CBA Inputs'!P$204-'I2 CBA Inputs'!P205,0)+IF(Scenario_Select="Scenario 3",'I2 CBA Inputs'!P$213-'I2 CBA Inputs'!P214,0)+IF(Scenario_Select="Scenario 4",'I2 CBA Inputs'!P$222-'I2 CBA Inputs'!P223,0)),0)</f>
        <v>67379379.067046165</v>
      </c>
      <c r="R123" s="18">
        <f>IFERROR('I1 General Inputs'!$A15*(IF(Scenario_Select="Scenario 1",'I2 CBA Inputs'!Q$195-'I2 CBA Inputs'!Q196,0)+IF(Scenario_Select="Scenario 2",'I2 CBA Inputs'!Q$204-'I2 CBA Inputs'!Q205,0)+IF(Scenario_Select="Scenario 3",'I2 CBA Inputs'!Q$213-'I2 CBA Inputs'!Q214,0)+IF(Scenario_Select="Scenario 4",'I2 CBA Inputs'!Q$222-'I2 CBA Inputs'!Q223,0)),0)</f>
        <v>-768159.33664488792</v>
      </c>
      <c r="S123" s="18">
        <f>IFERROR('I1 General Inputs'!$A15*(IF(Scenario_Select="Scenario 1",'I2 CBA Inputs'!R$195-'I2 CBA Inputs'!R196,0)+IF(Scenario_Select="Scenario 2",'I2 CBA Inputs'!R$204-'I2 CBA Inputs'!R205,0)+IF(Scenario_Select="Scenario 3",'I2 CBA Inputs'!R$213-'I2 CBA Inputs'!R214,0)+IF(Scenario_Select="Scenario 4",'I2 CBA Inputs'!R$222-'I2 CBA Inputs'!R223,0)),0)</f>
        <v>55725738.812051773</v>
      </c>
      <c r="T123" s="18">
        <f>IFERROR('I1 General Inputs'!$A15*(IF(Scenario_Select="Scenario 1",'I2 CBA Inputs'!S$195-'I2 CBA Inputs'!S196,0)+IF(Scenario_Select="Scenario 2",'I2 CBA Inputs'!S$204-'I2 CBA Inputs'!S205,0)+IF(Scenario_Select="Scenario 3",'I2 CBA Inputs'!S$213-'I2 CBA Inputs'!S214,0)+IF(Scenario_Select="Scenario 4",'I2 CBA Inputs'!S$222-'I2 CBA Inputs'!S223,0)),0)</f>
        <v>-247186328.82159805</v>
      </c>
      <c r="U123" s="18">
        <f>IFERROR('I1 General Inputs'!$A15*(IF(Scenario_Select="Scenario 1",'I2 CBA Inputs'!T$195-'I2 CBA Inputs'!T196,0)+IF(Scenario_Select="Scenario 2",'I2 CBA Inputs'!T$204-'I2 CBA Inputs'!T205,0)+IF(Scenario_Select="Scenario 3",'I2 CBA Inputs'!T$213-'I2 CBA Inputs'!T214,0)+IF(Scenario_Select="Scenario 4",'I2 CBA Inputs'!T$222-'I2 CBA Inputs'!T223,0)),0)</f>
        <v>125885495.88093853</v>
      </c>
      <c r="V123" s="18">
        <f>IFERROR('I1 General Inputs'!$A15*(IF(Scenario_Select="Scenario 1",'I2 CBA Inputs'!U$195-'I2 CBA Inputs'!U196,0)+IF(Scenario_Select="Scenario 2",'I2 CBA Inputs'!U$204-'I2 CBA Inputs'!U205,0)+IF(Scenario_Select="Scenario 3",'I2 CBA Inputs'!U$213-'I2 CBA Inputs'!U214,0)+IF(Scenario_Select="Scenario 4",'I2 CBA Inputs'!U$222-'I2 CBA Inputs'!U223,0)),0)</f>
        <v>201815791.46401024</v>
      </c>
      <c r="W123" s="18">
        <f>IFERROR('I1 General Inputs'!$A15*(IF(Scenario_Select="Scenario 1",'I2 CBA Inputs'!V$195-'I2 CBA Inputs'!V196,0)+IF(Scenario_Select="Scenario 2",'I2 CBA Inputs'!V$204-'I2 CBA Inputs'!V205,0)+IF(Scenario_Select="Scenario 3",'I2 CBA Inputs'!V$213-'I2 CBA Inputs'!V214,0)+IF(Scenario_Select="Scenario 4",'I2 CBA Inputs'!V$222-'I2 CBA Inputs'!V223,0)),0)</f>
        <v>60222606.45857811</v>
      </c>
      <c r="X123" s="18">
        <f>IFERROR('I1 General Inputs'!$A15*(IF(Scenario_Select="Scenario 1",'I2 CBA Inputs'!W$195-'I2 CBA Inputs'!W196,0)+IF(Scenario_Select="Scenario 2",'I2 CBA Inputs'!W$204-'I2 CBA Inputs'!W205,0)+IF(Scenario_Select="Scenario 3",'I2 CBA Inputs'!W$213-'I2 CBA Inputs'!W214,0)+IF(Scenario_Select="Scenario 4",'I2 CBA Inputs'!W$222-'I2 CBA Inputs'!W223,0)),0)</f>
        <v>-303982917.64094973</v>
      </c>
      <c r="Y123" s="18">
        <f>IFERROR('I1 General Inputs'!$A15*(IF(Scenario_Select="Scenario 1",'I2 CBA Inputs'!X$195-'I2 CBA Inputs'!X196,0)+IF(Scenario_Select="Scenario 2",'I2 CBA Inputs'!X$204-'I2 CBA Inputs'!X205,0)+IF(Scenario_Select="Scenario 3",'I2 CBA Inputs'!X$213-'I2 CBA Inputs'!X214,0)+IF(Scenario_Select="Scenario 4",'I2 CBA Inputs'!X$222-'I2 CBA Inputs'!X223,0)),0)</f>
        <v>-9958815.6163306236</v>
      </c>
      <c r="Z123" s="18">
        <f>IFERROR('I1 General Inputs'!$A15*(IF(Scenario_Select="Scenario 1",'I2 CBA Inputs'!Y$195-'I2 CBA Inputs'!Y196,0)+IF(Scenario_Select="Scenario 2",'I2 CBA Inputs'!Y$204-'I2 CBA Inputs'!Y205,0)+IF(Scenario_Select="Scenario 3",'I2 CBA Inputs'!Y$213-'I2 CBA Inputs'!Y214,0)+IF(Scenario_Select="Scenario 4",'I2 CBA Inputs'!Y$222-'I2 CBA Inputs'!Y223,0)),0)</f>
        <v>-4011990.7772450447</v>
      </c>
      <c r="AA123" s="18">
        <f>IFERROR('I1 General Inputs'!$A15*(IF(Scenario_Select="Scenario 1",'I2 CBA Inputs'!Z$195-'I2 CBA Inputs'!Z196,0)+IF(Scenario_Select="Scenario 2",'I2 CBA Inputs'!Z$204-'I2 CBA Inputs'!Z205,0)+IF(Scenario_Select="Scenario 3",'I2 CBA Inputs'!Z$213-'I2 CBA Inputs'!Z214,0)+IF(Scenario_Select="Scenario 4",'I2 CBA Inputs'!Z$222-'I2 CBA Inputs'!Z223,0)),0)</f>
        <v>102881527.90056467</v>
      </c>
      <c r="AB123" s="18">
        <f>IFERROR('I1 General Inputs'!$A15*(IF(Scenario_Select="Scenario 1",'I2 CBA Inputs'!AA$195-'I2 CBA Inputs'!AA196,0)+IF(Scenario_Select="Scenario 2",'I2 CBA Inputs'!AA$204-'I2 CBA Inputs'!AA205,0)+IF(Scenario_Select="Scenario 3",'I2 CBA Inputs'!AA$213-'I2 CBA Inputs'!AA214,0)+IF(Scenario_Select="Scenario 4",'I2 CBA Inputs'!AA$222-'I2 CBA Inputs'!AA223,0)),0)</f>
        <v>-81648247.899714708</v>
      </c>
      <c r="AC123" s="18">
        <f>IFERROR('I1 General Inputs'!$A15*(IF(Scenario_Select="Scenario 1",'I2 CBA Inputs'!AB$195-'I2 CBA Inputs'!AB196,0)+IF(Scenario_Select="Scenario 2",'I2 CBA Inputs'!AB$204-'I2 CBA Inputs'!AB205,0)+IF(Scenario_Select="Scenario 3",'I2 CBA Inputs'!AB$213-'I2 CBA Inputs'!AB214,0)+IF(Scenario_Select="Scenario 4",'I2 CBA Inputs'!AB$222-'I2 CBA Inputs'!AB223,0)),0)</f>
        <v>69903433.716102839</v>
      </c>
      <c r="AD123" s="18">
        <f>IFERROR('I1 General Inputs'!$A15*(IF(Scenario_Select="Scenario 1",'I2 CBA Inputs'!AC$195-'I2 CBA Inputs'!AC196,0)+IF(Scenario_Select="Scenario 2",'I2 CBA Inputs'!AC$204-'I2 CBA Inputs'!AC205,0)+IF(Scenario_Select="Scenario 3",'I2 CBA Inputs'!AC$213-'I2 CBA Inputs'!AC214,0)+IF(Scenario_Select="Scenario 4",'I2 CBA Inputs'!AC$222-'I2 CBA Inputs'!AC223,0)),0)</f>
        <v>24283296.132553458</v>
      </c>
      <c r="AE123" s="18">
        <f>IFERROR('I1 General Inputs'!$A15*(IF(Scenario_Select="Scenario 1",'I2 CBA Inputs'!AD$195-'I2 CBA Inputs'!AD196,0)+IF(Scenario_Select="Scenario 2",'I2 CBA Inputs'!AD$204-'I2 CBA Inputs'!AD205,0)+IF(Scenario_Select="Scenario 3",'I2 CBA Inputs'!AD$213-'I2 CBA Inputs'!AD214,0)+IF(Scenario_Select="Scenario 4",'I2 CBA Inputs'!AD$222-'I2 CBA Inputs'!AD223,0)),0)</f>
        <v>-44552661.109240532</v>
      </c>
      <c r="AF123" s="18">
        <f>'I1 General Inputs'!$A15*(IF(Scenario_Select="Scenario 1",'I2 CBA Inputs'!AE$195-'I2 CBA Inputs'!AE196,0)+IF(Scenario_Select="Scenario 2",'I2 CBA Inputs'!AE$204-'I2 CBA Inputs'!AE205,0)+IF(Scenario_Select="Scenario 3",'I2 CBA Inputs'!AE$213-'I2 CBA Inputs'!AE214,0)+IF(Scenario_Select="Scenario 4",'I2 CBA Inputs'!AE$222-'I2 CBA Inputs'!AE223,0))</f>
        <v>4512474.5637338161</v>
      </c>
      <c r="AG123" s="18">
        <f>'I1 General Inputs'!$A15*(IF(Scenario_Select="Scenario 1",'I2 CBA Inputs'!AF$195-'I2 CBA Inputs'!AF196,0)+IF(Scenario_Select="Scenario 2",'I2 CBA Inputs'!AF$204-'I2 CBA Inputs'!AF205,0)+IF(Scenario_Select="Scenario 3",'I2 CBA Inputs'!AF$213-'I2 CBA Inputs'!AF214,0)+IF(Scenario_Select="Scenario 4",'I2 CBA Inputs'!AF$222-'I2 CBA Inputs'!AF223,0))</f>
        <v>0</v>
      </c>
      <c r="AH123" s="18">
        <f>'I1 General Inputs'!$A15*(IF(Scenario_Select="Scenario 1",'I2 CBA Inputs'!AG$195-'I2 CBA Inputs'!AG196,0)+IF(Scenario_Select="Scenario 2",'I2 CBA Inputs'!AG$204-'I2 CBA Inputs'!AG205,0)+IF(Scenario_Select="Scenario 3",'I2 CBA Inputs'!AG$213-'I2 CBA Inputs'!AG214,0)+IF(Scenario_Select="Scenario 4",'I2 CBA Inputs'!AG$222-'I2 CBA Inputs'!AG223,0))</f>
        <v>0</v>
      </c>
      <c r="AI123" s="18">
        <f>'I1 General Inputs'!$A15*(IF(Scenario_Select="Scenario 1",'I2 CBA Inputs'!AH$195-'I2 CBA Inputs'!AH196,0)+IF(Scenario_Select="Scenario 2",'I2 CBA Inputs'!AH$204-'I2 CBA Inputs'!AH205,0)+IF(Scenario_Select="Scenario 3",'I2 CBA Inputs'!AH$213-'I2 CBA Inputs'!AH214,0)+IF(Scenario_Select="Scenario 4",'I2 CBA Inputs'!AH$222-'I2 CBA Inputs'!AH223,0))</f>
        <v>0</v>
      </c>
      <c r="AJ123" s="18">
        <f>'I1 General Inputs'!$A15*(IF(Scenario_Select="Scenario 1",'I2 CBA Inputs'!AI$195-'I2 CBA Inputs'!AI196,0)+IF(Scenario_Select="Scenario 2",'I2 CBA Inputs'!AI$204-'I2 CBA Inputs'!AI205,0)+IF(Scenario_Select="Scenario 3",'I2 CBA Inputs'!AI$213-'I2 CBA Inputs'!AI214,0)+IF(Scenario_Select="Scenario 4",'I2 CBA Inputs'!AI$222-'I2 CBA Inputs'!AI223,0))</f>
        <v>0</v>
      </c>
    </row>
    <row r="124" spans="2:36" x14ac:dyDescent="0.2">
      <c r="B124" s="9">
        <f>+'I1 General Inputs'!$B$16</f>
        <v>2</v>
      </c>
      <c r="C124" s="15" t="str">
        <f>+'I1 General Inputs'!$C$16</f>
        <v>Option 1B</v>
      </c>
      <c r="D124" s="28"/>
      <c r="E124" s="13" t="s">
        <v>35</v>
      </c>
      <c r="F124" s="19">
        <f t="shared" si="33"/>
        <v>72138855.007727504</v>
      </c>
      <c r="G124" s="18">
        <f>IFERROR('I1 General Inputs'!$A16*(IF(Scenario_Select="Scenario 1",'I2 CBA Inputs'!F$195-'I2 CBA Inputs'!F197,0)+IF(Scenario_Select="Scenario 2",'I2 CBA Inputs'!F$204-'I2 CBA Inputs'!F206,0)+IF(Scenario_Select="Scenario 3",'I2 CBA Inputs'!F$213-'I2 CBA Inputs'!F215,0)+IF(Scenario_Select="Scenario 4",'I2 CBA Inputs'!F$222-'I2 CBA Inputs'!F224,0)),0)</f>
        <v>0</v>
      </c>
      <c r="H124" s="18">
        <f>IFERROR('I1 General Inputs'!$A16*(IF(Scenario_Select="Scenario 1",'I2 CBA Inputs'!G$195-'I2 CBA Inputs'!G197,0)+IF(Scenario_Select="Scenario 2",'I2 CBA Inputs'!G$204-'I2 CBA Inputs'!G206,0)+IF(Scenario_Select="Scenario 3",'I2 CBA Inputs'!G$213-'I2 CBA Inputs'!G215,0)+IF(Scenario_Select="Scenario 4",'I2 CBA Inputs'!G$222-'I2 CBA Inputs'!G224,0)),0)</f>
        <v>-494.34067368507385</v>
      </c>
      <c r="I124" s="18">
        <f>IFERROR('I1 General Inputs'!$A16*(IF(Scenario_Select="Scenario 1",'I2 CBA Inputs'!H$195-'I2 CBA Inputs'!H197,0)+IF(Scenario_Select="Scenario 2",'I2 CBA Inputs'!H$204-'I2 CBA Inputs'!H206,0)+IF(Scenario_Select="Scenario 3",'I2 CBA Inputs'!H$213-'I2 CBA Inputs'!H215,0)+IF(Scenario_Select="Scenario 4",'I2 CBA Inputs'!H$222-'I2 CBA Inputs'!H224,0)),0)</f>
        <v>9004.7141597270966</v>
      </c>
      <c r="J124" s="18">
        <f>IFERROR('I1 General Inputs'!$A16*(IF(Scenario_Select="Scenario 1",'I2 CBA Inputs'!I$195-'I2 CBA Inputs'!I197,0)+IF(Scenario_Select="Scenario 2",'I2 CBA Inputs'!I$204-'I2 CBA Inputs'!I206,0)+IF(Scenario_Select="Scenario 3",'I2 CBA Inputs'!I$213-'I2 CBA Inputs'!I215,0)+IF(Scenario_Select="Scenario 4",'I2 CBA Inputs'!I$222-'I2 CBA Inputs'!I224,0)),0)</f>
        <v>356557.0048353672</v>
      </c>
      <c r="K124" s="18">
        <f>IFERROR('I1 General Inputs'!$A16*(IF(Scenario_Select="Scenario 1",'I2 CBA Inputs'!J$195-'I2 CBA Inputs'!J197,0)+IF(Scenario_Select="Scenario 2",'I2 CBA Inputs'!J$204-'I2 CBA Inputs'!J206,0)+IF(Scenario_Select="Scenario 3",'I2 CBA Inputs'!J$213-'I2 CBA Inputs'!J215,0)+IF(Scenario_Select="Scenario 4",'I2 CBA Inputs'!J$222-'I2 CBA Inputs'!J224,0)),0)</f>
        <v>-11707061.436211586</v>
      </c>
      <c r="L124" s="18">
        <f>IFERROR('I1 General Inputs'!$A16*(IF(Scenario_Select="Scenario 1",'I2 CBA Inputs'!K$195-'I2 CBA Inputs'!K197,0)+IF(Scenario_Select="Scenario 2",'I2 CBA Inputs'!K$204-'I2 CBA Inputs'!K206,0)+IF(Scenario_Select="Scenario 3",'I2 CBA Inputs'!K$213-'I2 CBA Inputs'!K215,0)+IF(Scenario_Select="Scenario 4",'I2 CBA Inputs'!K$222-'I2 CBA Inputs'!K224,0)),0)</f>
        <v>356214.32301616669</v>
      </c>
      <c r="M124" s="18">
        <f>IFERROR('I1 General Inputs'!$A16*(IF(Scenario_Select="Scenario 1",'I2 CBA Inputs'!L$195-'I2 CBA Inputs'!L197,0)+IF(Scenario_Select="Scenario 2",'I2 CBA Inputs'!L$204-'I2 CBA Inputs'!L206,0)+IF(Scenario_Select="Scenario 3",'I2 CBA Inputs'!L$213-'I2 CBA Inputs'!L215,0)+IF(Scenario_Select="Scenario 4",'I2 CBA Inputs'!L$222-'I2 CBA Inputs'!L224,0)),0)</f>
        <v>2091675.4444671869</v>
      </c>
      <c r="N124" s="18">
        <f>IFERROR('I1 General Inputs'!$A16*(IF(Scenario_Select="Scenario 1",'I2 CBA Inputs'!M$195-'I2 CBA Inputs'!M197,0)+IF(Scenario_Select="Scenario 2",'I2 CBA Inputs'!M$204-'I2 CBA Inputs'!M206,0)+IF(Scenario_Select="Scenario 3",'I2 CBA Inputs'!M$213-'I2 CBA Inputs'!M215,0)+IF(Scenario_Select="Scenario 4",'I2 CBA Inputs'!M$222-'I2 CBA Inputs'!M224,0)),0)</f>
        <v>4113355.8410371542</v>
      </c>
      <c r="O124" s="18">
        <f>IFERROR('I1 General Inputs'!$A16*(IF(Scenario_Select="Scenario 1",'I2 CBA Inputs'!N$195-'I2 CBA Inputs'!N197,0)+IF(Scenario_Select="Scenario 2",'I2 CBA Inputs'!N$204-'I2 CBA Inputs'!N206,0)+IF(Scenario_Select="Scenario 3",'I2 CBA Inputs'!N$213-'I2 CBA Inputs'!N215,0)+IF(Scenario_Select="Scenario 4",'I2 CBA Inputs'!N$222-'I2 CBA Inputs'!N224,0)),0)</f>
        <v>3357986.251478672</v>
      </c>
      <c r="P124" s="18">
        <f>IFERROR('I1 General Inputs'!$A16*(IF(Scenario_Select="Scenario 1",'I2 CBA Inputs'!O$195-'I2 CBA Inputs'!O197,0)+IF(Scenario_Select="Scenario 2",'I2 CBA Inputs'!O$204-'I2 CBA Inputs'!O206,0)+IF(Scenario_Select="Scenario 3",'I2 CBA Inputs'!O$213-'I2 CBA Inputs'!O215,0)+IF(Scenario_Select="Scenario 4",'I2 CBA Inputs'!O$222-'I2 CBA Inputs'!O224,0)),0)</f>
        <v>139874918.68739986</v>
      </c>
      <c r="Q124" s="18">
        <f>IFERROR('I1 General Inputs'!$A16*(IF(Scenario_Select="Scenario 1",'I2 CBA Inputs'!P$195-'I2 CBA Inputs'!P197,0)+IF(Scenario_Select="Scenario 2",'I2 CBA Inputs'!P$204-'I2 CBA Inputs'!P206,0)+IF(Scenario_Select="Scenario 3",'I2 CBA Inputs'!P$213-'I2 CBA Inputs'!P215,0)+IF(Scenario_Select="Scenario 4",'I2 CBA Inputs'!P$222-'I2 CBA Inputs'!P224,0)),0)</f>
        <v>4220341.1926422119</v>
      </c>
      <c r="R124" s="18">
        <f>IFERROR('I1 General Inputs'!$A16*(IF(Scenario_Select="Scenario 1",'I2 CBA Inputs'!Q$195-'I2 CBA Inputs'!Q197,0)+IF(Scenario_Select="Scenario 2",'I2 CBA Inputs'!Q$204-'I2 CBA Inputs'!Q206,0)+IF(Scenario_Select="Scenario 3",'I2 CBA Inputs'!Q$213-'I2 CBA Inputs'!Q215,0)+IF(Scenario_Select="Scenario 4",'I2 CBA Inputs'!Q$222-'I2 CBA Inputs'!Q224,0)),0)</f>
        <v>724516.0772036314</v>
      </c>
      <c r="S124" s="18">
        <f>IFERROR('I1 General Inputs'!$A16*(IF(Scenario_Select="Scenario 1",'I2 CBA Inputs'!R$195-'I2 CBA Inputs'!R197,0)+IF(Scenario_Select="Scenario 2",'I2 CBA Inputs'!R$204-'I2 CBA Inputs'!R206,0)+IF(Scenario_Select="Scenario 3",'I2 CBA Inputs'!R$213-'I2 CBA Inputs'!R215,0)+IF(Scenario_Select="Scenario 4",'I2 CBA Inputs'!R$222-'I2 CBA Inputs'!R224,0)),0)</f>
        <v>-38370480.543796539</v>
      </c>
      <c r="T124" s="18">
        <f>IFERROR('I1 General Inputs'!$A16*(IF(Scenario_Select="Scenario 1",'I2 CBA Inputs'!S$195-'I2 CBA Inputs'!S197,0)+IF(Scenario_Select="Scenario 2",'I2 CBA Inputs'!S$204-'I2 CBA Inputs'!S206,0)+IF(Scenario_Select="Scenario 3",'I2 CBA Inputs'!S$213-'I2 CBA Inputs'!S215,0)+IF(Scenario_Select="Scenario 4",'I2 CBA Inputs'!S$222-'I2 CBA Inputs'!S224,0)),0)</f>
        <v>-226680216.70097065</v>
      </c>
      <c r="U124" s="18">
        <f>IFERROR('I1 General Inputs'!$A16*(IF(Scenario_Select="Scenario 1",'I2 CBA Inputs'!T$195-'I2 CBA Inputs'!T197,0)+IF(Scenario_Select="Scenario 2",'I2 CBA Inputs'!T$204-'I2 CBA Inputs'!T206,0)+IF(Scenario_Select="Scenario 3",'I2 CBA Inputs'!T$213-'I2 CBA Inputs'!T215,0)+IF(Scenario_Select="Scenario 4",'I2 CBA Inputs'!T$222-'I2 CBA Inputs'!T224,0)),0)</f>
        <v>211717731.57516932</v>
      </c>
      <c r="V124" s="18">
        <f>IFERROR('I1 General Inputs'!$A16*(IF(Scenario_Select="Scenario 1",'I2 CBA Inputs'!U$195-'I2 CBA Inputs'!U197,0)+IF(Scenario_Select="Scenario 2",'I2 CBA Inputs'!U$204-'I2 CBA Inputs'!U206,0)+IF(Scenario_Select="Scenario 3",'I2 CBA Inputs'!U$213-'I2 CBA Inputs'!U215,0)+IF(Scenario_Select="Scenario 4",'I2 CBA Inputs'!U$222-'I2 CBA Inputs'!U224,0)),0)</f>
        <v>6840417.2073082924</v>
      </c>
      <c r="W124" s="18">
        <f>IFERROR('I1 General Inputs'!$A16*(IF(Scenario_Select="Scenario 1",'I2 CBA Inputs'!V$195-'I2 CBA Inputs'!V197,0)+IF(Scenario_Select="Scenario 2",'I2 CBA Inputs'!V$204-'I2 CBA Inputs'!V206,0)+IF(Scenario_Select="Scenario 3",'I2 CBA Inputs'!V$213-'I2 CBA Inputs'!V215,0)+IF(Scenario_Select="Scenario 4",'I2 CBA Inputs'!V$222-'I2 CBA Inputs'!V224,0)),0)</f>
        <v>162654438.40077019</v>
      </c>
      <c r="X124" s="18">
        <f>IFERROR('I1 General Inputs'!$A16*(IF(Scenario_Select="Scenario 1",'I2 CBA Inputs'!W$195-'I2 CBA Inputs'!W197,0)+IF(Scenario_Select="Scenario 2",'I2 CBA Inputs'!W$204-'I2 CBA Inputs'!W206,0)+IF(Scenario_Select="Scenario 3",'I2 CBA Inputs'!W$213-'I2 CBA Inputs'!W215,0)+IF(Scenario_Select="Scenario 4",'I2 CBA Inputs'!W$222-'I2 CBA Inputs'!W224,0)),0)</f>
        <v>-107577346.5277586</v>
      </c>
      <c r="Y124" s="18">
        <f>IFERROR('I1 General Inputs'!$A16*(IF(Scenario_Select="Scenario 1",'I2 CBA Inputs'!X$195-'I2 CBA Inputs'!X197,0)+IF(Scenario_Select="Scenario 2",'I2 CBA Inputs'!X$204-'I2 CBA Inputs'!X206,0)+IF(Scenario_Select="Scenario 3",'I2 CBA Inputs'!X$213-'I2 CBA Inputs'!X215,0)+IF(Scenario_Select="Scenario 4",'I2 CBA Inputs'!X$222-'I2 CBA Inputs'!X224,0)),0)</f>
        <v>-18206967.101720929</v>
      </c>
      <c r="Z124" s="18">
        <f>IFERROR('I1 General Inputs'!$A16*(IF(Scenario_Select="Scenario 1",'I2 CBA Inputs'!Y$195-'I2 CBA Inputs'!Y197,0)+IF(Scenario_Select="Scenario 2",'I2 CBA Inputs'!Y$204-'I2 CBA Inputs'!Y206,0)+IF(Scenario_Select="Scenario 3",'I2 CBA Inputs'!Y$213-'I2 CBA Inputs'!Y215,0)+IF(Scenario_Select="Scenario 4",'I2 CBA Inputs'!Y$222-'I2 CBA Inputs'!Y224,0)),0)</f>
        <v>11722768.172281742</v>
      </c>
      <c r="AA124" s="18">
        <f>IFERROR('I1 General Inputs'!$A16*(IF(Scenario_Select="Scenario 1",'I2 CBA Inputs'!Z$195-'I2 CBA Inputs'!Z197,0)+IF(Scenario_Select="Scenario 2",'I2 CBA Inputs'!Z$204-'I2 CBA Inputs'!Z206,0)+IF(Scenario_Select="Scenario 3",'I2 CBA Inputs'!Z$213-'I2 CBA Inputs'!Z215,0)+IF(Scenario_Select="Scenario 4",'I2 CBA Inputs'!Z$222-'I2 CBA Inputs'!Z224,0)),0)</f>
        <v>-14425773.682133198</v>
      </c>
      <c r="AB124" s="18">
        <f>IFERROR('I1 General Inputs'!$A16*(IF(Scenario_Select="Scenario 1",'I2 CBA Inputs'!AA$195-'I2 CBA Inputs'!AA197,0)+IF(Scenario_Select="Scenario 2",'I2 CBA Inputs'!AA$204-'I2 CBA Inputs'!AA206,0)+IF(Scenario_Select="Scenario 3",'I2 CBA Inputs'!AA$213-'I2 CBA Inputs'!AA215,0)+IF(Scenario_Select="Scenario 4",'I2 CBA Inputs'!AA$222-'I2 CBA Inputs'!AA224,0)),0)</f>
        <v>29239667.79969883</v>
      </c>
      <c r="AC124" s="18">
        <f>IFERROR('I1 General Inputs'!$A16*(IF(Scenario_Select="Scenario 1",'I2 CBA Inputs'!AB$195-'I2 CBA Inputs'!AB197,0)+IF(Scenario_Select="Scenario 2",'I2 CBA Inputs'!AB$204-'I2 CBA Inputs'!AB206,0)+IF(Scenario_Select="Scenario 3",'I2 CBA Inputs'!AB$213-'I2 CBA Inputs'!AB215,0)+IF(Scenario_Select="Scenario 4",'I2 CBA Inputs'!AB$222-'I2 CBA Inputs'!AB224,0)),0)</f>
        <v>17329269.917488933</v>
      </c>
      <c r="AD124" s="18">
        <f>IFERROR('I1 General Inputs'!$A16*(IF(Scenario_Select="Scenario 1",'I2 CBA Inputs'!AC$195-'I2 CBA Inputs'!AC197,0)+IF(Scenario_Select="Scenario 2",'I2 CBA Inputs'!AC$204-'I2 CBA Inputs'!AC206,0)+IF(Scenario_Select="Scenario 3",'I2 CBA Inputs'!AC$213-'I2 CBA Inputs'!AC215,0)+IF(Scenario_Select="Scenario 4",'I2 CBA Inputs'!AC$222-'I2 CBA Inputs'!AC224,0)),0)</f>
        <v>1380243.7929188013</v>
      </c>
      <c r="AE124" s="18">
        <f>IFERROR('I1 General Inputs'!$A16*(IF(Scenario_Select="Scenario 1",'I2 CBA Inputs'!AD$195-'I2 CBA Inputs'!AD197,0)+IF(Scenario_Select="Scenario 2",'I2 CBA Inputs'!AD$204-'I2 CBA Inputs'!AD206,0)+IF(Scenario_Select="Scenario 3",'I2 CBA Inputs'!AD$213-'I2 CBA Inputs'!AD215,0)+IF(Scenario_Select="Scenario 4",'I2 CBA Inputs'!AD$222-'I2 CBA Inputs'!AD224,0)),0)</f>
        <v>-58245408.633208275</v>
      </c>
      <c r="AF124" s="18">
        <f>'I1 General Inputs'!$A16*(IF(Scenario_Select="Scenario 1",'I2 CBA Inputs'!AE$195-'I2 CBA Inputs'!AE197,0)+IF(Scenario_Select="Scenario 2",'I2 CBA Inputs'!AE$204-'I2 CBA Inputs'!AE206,0)+IF(Scenario_Select="Scenario 3",'I2 CBA Inputs'!AE$213-'I2 CBA Inputs'!AE215,0)+IF(Scenario_Select="Scenario 4",'I2 CBA Inputs'!AE$222-'I2 CBA Inputs'!AE224,0))</f>
        <v>3037457.6829434633</v>
      </c>
      <c r="AG124" s="18">
        <f>'I1 General Inputs'!$A16*(IF(Scenario_Select="Scenario 1",'I2 CBA Inputs'!AF$195-'I2 CBA Inputs'!AF197,0)+IF(Scenario_Select="Scenario 2",'I2 CBA Inputs'!AF$204-'I2 CBA Inputs'!AF206,0)+IF(Scenario_Select="Scenario 3",'I2 CBA Inputs'!AF$213-'I2 CBA Inputs'!AF215,0)+IF(Scenario_Select="Scenario 4",'I2 CBA Inputs'!AF$222-'I2 CBA Inputs'!AF224,0))</f>
        <v>0</v>
      </c>
      <c r="AH124" s="18">
        <f>'I1 General Inputs'!$A16*(IF(Scenario_Select="Scenario 1",'I2 CBA Inputs'!AG$195-'I2 CBA Inputs'!AG197,0)+IF(Scenario_Select="Scenario 2",'I2 CBA Inputs'!AG$204-'I2 CBA Inputs'!AG206,0)+IF(Scenario_Select="Scenario 3",'I2 CBA Inputs'!AG$213-'I2 CBA Inputs'!AG215,0)+IF(Scenario_Select="Scenario 4",'I2 CBA Inputs'!AG$222-'I2 CBA Inputs'!AG224,0))</f>
        <v>0</v>
      </c>
      <c r="AI124" s="18">
        <f>'I1 General Inputs'!$A16*(IF(Scenario_Select="Scenario 1",'I2 CBA Inputs'!AH$195-'I2 CBA Inputs'!AH197,0)+IF(Scenario_Select="Scenario 2",'I2 CBA Inputs'!AH$204-'I2 CBA Inputs'!AH206,0)+IF(Scenario_Select="Scenario 3",'I2 CBA Inputs'!AH$213-'I2 CBA Inputs'!AH215,0)+IF(Scenario_Select="Scenario 4",'I2 CBA Inputs'!AH$222-'I2 CBA Inputs'!AH224,0))</f>
        <v>0</v>
      </c>
      <c r="AJ124" s="18">
        <f>'I1 General Inputs'!$A16*(IF(Scenario_Select="Scenario 1",'I2 CBA Inputs'!AI$195-'I2 CBA Inputs'!AI197,0)+IF(Scenario_Select="Scenario 2",'I2 CBA Inputs'!AI$204-'I2 CBA Inputs'!AI206,0)+IF(Scenario_Select="Scenario 3",'I2 CBA Inputs'!AI$213-'I2 CBA Inputs'!AI215,0)+IF(Scenario_Select="Scenario 4",'I2 CBA Inputs'!AI$222-'I2 CBA Inputs'!AI224,0))</f>
        <v>0</v>
      </c>
    </row>
    <row r="125" spans="2:36" x14ac:dyDescent="0.2">
      <c r="B125" s="9">
        <f>+'I1 General Inputs'!$B$17</f>
        <v>3</v>
      </c>
      <c r="C125" s="15" t="str">
        <f>+'I1 General Inputs'!$C$17</f>
        <v>Option 1C</v>
      </c>
      <c r="D125" s="28"/>
      <c r="E125" s="13" t="s">
        <v>35</v>
      </c>
      <c r="F125" s="19">
        <f t="shared" si="33"/>
        <v>144638247.22212476</v>
      </c>
      <c r="G125" s="18">
        <f>IFERROR('I1 General Inputs'!$A17*(IF(Scenario_Select="Scenario 1",'I2 CBA Inputs'!F$195-'I2 CBA Inputs'!F198,0)+IF(Scenario_Select="Scenario 2",'I2 CBA Inputs'!F$204-'I2 CBA Inputs'!F207,0)+IF(Scenario_Select="Scenario 3",'I2 CBA Inputs'!F$213-'I2 CBA Inputs'!F216,0)+IF(Scenario_Select="Scenario 4",'I2 CBA Inputs'!F$222-'I2 CBA Inputs'!F225,0)),0)</f>
        <v>0</v>
      </c>
      <c r="H125" s="18">
        <f>IFERROR('I1 General Inputs'!$A17*(IF(Scenario_Select="Scenario 1",'I2 CBA Inputs'!G$195-'I2 CBA Inputs'!G198,0)+IF(Scenario_Select="Scenario 2",'I2 CBA Inputs'!G$204-'I2 CBA Inputs'!G207,0)+IF(Scenario_Select="Scenario 3",'I2 CBA Inputs'!G$213-'I2 CBA Inputs'!G216,0)+IF(Scenario_Select="Scenario 4",'I2 CBA Inputs'!G$222-'I2 CBA Inputs'!G225,0)),0)</f>
        <v>254.70828700065613</v>
      </c>
      <c r="I125" s="18">
        <f>IFERROR('I1 General Inputs'!$A17*(IF(Scenario_Select="Scenario 1",'I2 CBA Inputs'!H$195-'I2 CBA Inputs'!H198,0)+IF(Scenario_Select="Scenario 2",'I2 CBA Inputs'!H$204-'I2 CBA Inputs'!H207,0)+IF(Scenario_Select="Scenario 3",'I2 CBA Inputs'!H$213-'I2 CBA Inputs'!H216,0)+IF(Scenario_Select="Scenario 4",'I2 CBA Inputs'!H$222-'I2 CBA Inputs'!H225,0)),0)</f>
        <v>4220.8951238393784</v>
      </c>
      <c r="J125" s="18">
        <f>IFERROR('I1 General Inputs'!$A17*(IF(Scenario_Select="Scenario 1",'I2 CBA Inputs'!I$195-'I2 CBA Inputs'!I198,0)+IF(Scenario_Select="Scenario 2",'I2 CBA Inputs'!I$204-'I2 CBA Inputs'!I207,0)+IF(Scenario_Select="Scenario 3",'I2 CBA Inputs'!I$213-'I2 CBA Inputs'!I216,0)+IF(Scenario_Select="Scenario 4",'I2 CBA Inputs'!I$222-'I2 CBA Inputs'!I225,0)),0)</f>
        <v>74931930.125116587</v>
      </c>
      <c r="K125" s="18">
        <f>IFERROR('I1 General Inputs'!$A17*(IF(Scenario_Select="Scenario 1",'I2 CBA Inputs'!J$195-'I2 CBA Inputs'!J198,0)+IF(Scenario_Select="Scenario 2",'I2 CBA Inputs'!J$204-'I2 CBA Inputs'!J207,0)+IF(Scenario_Select="Scenario 3",'I2 CBA Inputs'!J$213-'I2 CBA Inputs'!J216,0)+IF(Scenario_Select="Scenario 4",'I2 CBA Inputs'!J$222-'I2 CBA Inputs'!J225,0)),0)</f>
        <v>32925784.408049941</v>
      </c>
      <c r="L125" s="18">
        <f>IFERROR('I1 General Inputs'!$A17*(IF(Scenario_Select="Scenario 1",'I2 CBA Inputs'!K$195-'I2 CBA Inputs'!K198,0)+IF(Scenario_Select="Scenario 2",'I2 CBA Inputs'!K$204-'I2 CBA Inputs'!K207,0)+IF(Scenario_Select="Scenario 3",'I2 CBA Inputs'!K$213-'I2 CBA Inputs'!K216,0)+IF(Scenario_Select="Scenario 4",'I2 CBA Inputs'!K$222-'I2 CBA Inputs'!K225,0)),0)</f>
        <v>-519708.423822999</v>
      </c>
      <c r="M125" s="18">
        <f>IFERROR('I1 General Inputs'!$A17*(IF(Scenario_Select="Scenario 1",'I2 CBA Inputs'!L$195-'I2 CBA Inputs'!L198,0)+IF(Scenario_Select="Scenario 2",'I2 CBA Inputs'!L$204-'I2 CBA Inputs'!L207,0)+IF(Scenario_Select="Scenario 3",'I2 CBA Inputs'!L$213-'I2 CBA Inputs'!L216,0)+IF(Scenario_Select="Scenario 4",'I2 CBA Inputs'!L$222-'I2 CBA Inputs'!L225,0)),0)</f>
        <v>234054.23234784603</v>
      </c>
      <c r="N125" s="18">
        <f>IFERROR('I1 General Inputs'!$A17*(IF(Scenario_Select="Scenario 1",'I2 CBA Inputs'!M$195-'I2 CBA Inputs'!M198,0)+IF(Scenario_Select="Scenario 2",'I2 CBA Inputs'!M$204-'I2 CBA Inputs'!M207,0)+IF(Scenario_Select="Scenario 3",'I2 CBA Inputs'!M$213-'I2 CBA Inputs'!M216,0)+IF(Scenario_Select="Scenario 4",'I2 CBA Inputs'!M$222-'I2 CBA Inputs'!M225,0)),0)</f>
        <v>1331656.7874243259</v>
      </c>
      <c r="O125" s="18">
        <f>IFERROR('I1 General Inputs'!$A17*(IF(Scenario_Select="Scenario 1",'I2 CBA Inputs'!N$195-'I2 CBA Inputs'!N198,0)+IF(Scenario_Select="Scenario 2",'I2 CBA Inputs'!N$204-'I2 CBA Inputs'!N207,0)+IF(Scenario_Select="Scenario 3",'I2 CBA Inputs'!N$213-'I2 CBA Inputs'!N216,0)+IF(Scenario_Select="Scenario 4",'I2 CBA Inputs'!N$222-'I2 CBA Inputs'!N225,0)),0)</f>
        <v>1546215.7252721786</v>
      </c>
      <c r="P125" s="18">
        <f>IFERROR('I1 General Inputs'!$A17*(IF(Scenario_Select="Scenario 1",'I2 CBA Inputs'!O$195-'I2 CBA Inputs'!O198,0)+IF(Scenario_Select="Scenario 2",'I2 CBA Inputs'!O$204-'I2 CBA Inputs'!O207,0)+IF(Scenario_Select="Scenario 3",'I2 CBA Inputs'!O$213-'I2 CBA Inputs'!O216,0)+IF(Scenario_Select="Scenario 4",'I2 CBA Inputs'!O$222-'I2 CBA Inputs'!O225,0)),0)</f>
        <v>76355752.140576363</v>
      </c>
      <c r="Q125" s="18">
        <f>IFERROR('I1 General Inputs'!$A17*(IF(Scenario_Select="Scenario 1",'I2 CBA Inputs'!P$195-'I2 CBA Inputs'!P198,0)+IF(Scenario_Select="Scenario 2",'I2 CBA Inputs'!P$204-'I2 CBA Inputs'!P207,0)+IF(Scenario_Select="Scenario 3",'I2 CBA Inputs'!P$213-'I2 CBA Inputs'!P216,0)+IF(Scenario_Select="Scenario 4",'I2 CBA Inputs'!P$222-'I2 CBA Inputs'!P225,0)),0)</f>
        <v>-47789640.921401978</v>
      </c>
      <c r="R125" s="18">
        <f>IFERROR('I1 General Inputs'!$A17*(IF(Scenario_Select="Scenario 1",'I2 CBA Inputs'!Q$195-'I2 CBA Inputs'!Q198,0)+IF(Scenario_Select="Scenario 2",'I2 CBA Inputs'!Q$204-'I2 CBA Inputs'!Q207,0)+IF(Scenario_Select="Scenario 3",'I2 CBA Inputs'!Q$213-'I2 CBA Inputs'!Q216,0)+IF(Scenario_Select="Scenario 4",'I2 CBA Inputs'!Q$222-'I2 CBA Inputs'!Q225,0)),0)</f>
        <v>-197978.62860548496</v>
      </c>
      <c r="S125" s="18">
        <f>IFERROR('I1 General Inputs'!$A17*(IF(Scenario_Select="Scenario 1",'I2 CBA Inputs'!R$195-'I2 CBA Inputs'!R198,0)+IF(Scenario_Select="Scenario 2",'I2 CBA Inputs'!R$204-'I2 CBA Inputs'!R207,0)+IF(Scenario_Select="Scenario 3",'I2 CBA Inputs'!R$213-'I2 CBA Inputs'!R216,0)+IF(Scenario_Select="Scenario 4",'I2 CBA Inputs'!R$222-'I2 CBA Inputs'!R225,0)),0)</f>
        <v>146279422.54257584</v>
      </c>
      <c r="T125" s="18">
        <f>IFERROR('I1 General Inputs'!$A17*(IF(Scenario_Select="Scenario 1",'I2 CBA Inputs'!S$195-'I2 CBA Inputs'!S198,0)+IF(Scenario_Select="Scenario 2",'I2 CBA Inputs'!S$204-'I2 CBA Inputs'!S207,0)+IF(Scenario_Select="Scenario 3",'I2 CBA Inputs'!S$213-'I2 CBA Inputs'!S216,0)+IF(Scenario_Select="Scenario 4",'I2 CBA Inputs'!S$222-'I2 CBA Inputs'!S225,0)),0)</f>
        <v>-49846858.575978279</v>
      </c>
      <c r="U125" s="18">
        <f>IFERROR('I1 General Inputs'!$A17*(IF(Scenario_Select="Scenario 1",'I2 CBA Inputs'!T$195-'I2 CBA Inputs'!T198,0)+IF(Scenario_Select="Scenario 2",'I2 CBA Inputs'!T$204-'I2 CBA Inputs'!T207,0)+IF(Scenario_Select="Scenario 3",'I2 CBA Inputs'!T$213-'I2 CBA Inputs'!T216,0)+IF(Scenario_Select="Scenario 4",'I2 CBA Inputs'!T$222-'I2 CBA Inputs'!T225,0)),0)</f>
        <v>-56879594.462609291</v>
      </c>
      <c r="V125" s="18">
        <f>IFERROR('I1 General Inputs'!$A17*(IF(Scenario_Select="Scenario 1",'I2 CBA Inputs'!U$195-'I2 CBA Inputs'!U198,0)+IF(Scenario_Select="Scenario 2",'I2 CBA Inputs'!U$204-'I2 CBA Inputs'!U207,0)+IF(Scenario_Select="Scenario 3",'I2 CBA Inputs'!U$213-'I2 CBA Inputs'!U216,0)+IF(Scenario_Select="Scenario 4",'I2 CBA Inputs'!U$222-'I2 CBA Inputs'!U225,0)),0)</f>
        <v>199419298.78084993</v>
      </c>
      <c r="W125" s="18">
        <f>IFERROR('I1 General Inputs'!$A17*(IF(Scenario_Select="Scenario 1",'I2 CBA Inputs'!V$195-'I2 CBA Inputs'!V198,0)+IF(Scenario_Select="Scenario 2",'I2 CBA Inputs'!V$204-'I2 CBA Inputs'!V207,0)+IF(Scenario_Select="Scenario 3",'I2 CBA Inputs'!V$213-'I2 CBA Inputs'!V216,0)+IF(Scenario_Select="Scenario 4",'I2 CBA Inputs'!V$222-'I2 CBA Inputs'!V225,0)),0)</f>
        <v>-54192582.743282318</v>
      </c>
      <c r="X125" s="18">
        <f>IFERROR('I1 General Inputs'!$A17*(IF(Scenario_Select="Scenario 1",'I2 CBA Inputs'!W$195-'I2 CBA Inputs'!W198,0)+IF(Scenario_Select="Scenario 2",'I2 CBA Inputs'!W$204-'I2 CBA Inputs'!W207,0)+IF(Scenario_Select="Scenario 3",'I2 CBA Inputs'!W$213-'I2 CBA Inputs'!W216,0)+IF(Scenario_Select="Scenario 4",'I2 CBA Inputs'!W$222-'I2 CBA Inputs'!W225,0)),0)</f>
        <v>-197415023.39243793</v>
      </c>
      <c r="Y125" s="18">
        <f>IFERROR('I1 General Inputs'!$A17*(IF(Scenario_Select="Scenario 1",'I2 CBA Inputs'!X$195-'I2 CBA Inputs'!X198,0)+IF(Scenario_Select="Scenario 2",'I2 CBA Inputs'!X$204-'I2 CBA Inputs'!X207,0)+IF(Scenario_Select="Scenario 3",'I2 CBA Inputs'!X$213-'I2 CBA Inputs'!X216,0)+IF(Scenario_Select="Scenario 4",'I2 CBA Inputs'!X$222-'I2 CBA Inputs'!X225,0)),0)</f>
        <v>-14806901.29609108</v>
      </c>
      <c r="Z125" s="18">
        <f>IFERROR('I1 General Inputs'!$A17*(IF(Scenario_Select="Scenario 1",'I2 CBA Inputs'!Y$195-'I2 CBA Inputs'!Y198,0)+IF(Scenario_Select="Scenario 2",'I2 CBA Inputs'!Y$204-'I2 CBA Inputs'!Y207,0)+IF(Scenario_Select="Scenario 3",'I2 CBA Inputs'!Y$213-'I2 CBA Inputs'!Y216,0)+IF(Scenario_Select="Scenario 4",'I2 CBA Inputs'!Y$222-'I2 CBA Inputs'!Y225,0)),0)</f>
        <v>-4976600.5002563</v>
      </c>
      <c r="AA125" s="18">
        <f>IFERROR('I1 General Inputs'!$A17*(IF(Scenario_Select="Scenario 1",'I2 CBA Inputs'!Z$195-'I2 CBA Inputs'!Z198,0)+IF(Scenario_Select="Scenario 2",'I2 CBA Inputs'!Z$204-'I2 CBA Inputs'!Z207,0)+IF(Scenario_Select="Scenario 3",'I2 CBA Inputs'!Z$213-'I2 CBA Inputs'!Z216,0)+IF(Scenario_Select="Scenario 4",'I2 CBA Inputs'!Z$222-'I2 CBA Inputs'!Z225,0)),0)</f>
        <v>175801487.38293648</v>
      </c>
      <c r="AB125" s="18">
        <f>IFERROR('I1 General Inputs'!$A17*(IF(Scenario_Select="Scenario 1",'I2 CBA Inputs'!AA$195-'I2 CBA Inputs'!AA198,0)+IF(Scenario_Select="Scenario 2",'I2 CBA Inputs'!AA$204-'I2 CBA Inputs'!AA207,0)+IF(Scenario_Select="Scenario 3",'I2 CBA Inputs'!AA$213-'I2 CBA Inputs'!AA216,0)+IF(Scenario_Select="Scenario 4",'I2 CBA Inputs'!AA$222-'I2 CBA Inputs'!AA225,0)),0)</f>
        <v>-112903797.21531701</v>
      </c>
      <c r="AC125" s="18">
        <f>IFERROR('I1 General Inputs'!$A17*(IF(Scenario_Select="Scenario 1",'I2 CBA Inputs'!AB$195-'I2 CBA Inputs'!AB198,0)+IF(Scenario_Select="Scenario 2",'I2 CBA Inputs'!AB$204-'I2 CBA Inputs'!AB207,0)+IF(Scenario_Select="Scenario 3",'I2 CBA Inputs'!AB$213-'I2 CBA Inputs'!AB216,0)+IF(Scenario_Select="Scenario 4",'I2 CBA Inputs'!AB$222-'I2 CBA Inputs'!AB225,0)),0)</f>
        <v>23944274.880866408</v>
      </c>
      <c r="AD125" s="18">
        <f>IFERROR('I1 General Inputs'!$A17*(IF(Scenario_Select="Scenario 1",'I2 CBA Inputs'!AC$195-'I2 CBA Inputs'!AC198,0)+IF(Scenario_Select="Scenario 2",'I2 CBA Inputs'!AC$204-'I2 CBA Inputs'!AC207,0)+IF(Scenario_Select="Scenario 3",'I2 CBA Inputs'!AC$213-'I2 CBA Inputs'!AC216,0)+IF(Scenario_Select="Scenario 4",'I2 CBA Inputs'!AC$222-'I2 CBA Inputs'!AC225,0)),0)</f>
        <v>12077279.583674312</v>
      </c>
      <c r="AE125" s="18">
        <f>IFERROR('I1 General Inputs'!$A17*(IF(Scenario_Select="Scenario 1",'I2 CBA Inputs'!AD$195-'I2 CBA Inputs'!AD198,0)+IF(Scenario_Select="Scenario 2",'I2 CBA Inputs'!AD$204-'I2 CBA Inputs'!AD207,0)+IF(Scenario_Select="Scenario 3",'I2 CBA Inputs'!AD$213-'I2 CBA Inputs'!AD216,0)+IF(Scenario_Select="Scenario 4",'I2 CBA Inputs'!AD$222-'I2 CBA Inputs'!AD225,0)),0)</f>
        <v>-8022507.8274950981</v>
      </c>
      <c r="AF125" s="18">
        <f>'I1 General Inputs'!$A17*(IF(Scenario_Select="Scenario 1",'I2 CBA Inputs'!AE$195-'I2 CBA Inputs'!AE198,0)+IF(Scenario_Select="Scenario 2",'I2 CBA Inputs'!AE$204-'I2 CBA Inputs'!AE207,0)+IF(Scenario_Select="Scenario 3",'I2 CBA Inputs'!AE$213-'I2 CBA Inputs'!AE216,0)+IF(Scenario_Select="Scenario 4",'I2 CBA Inputs'!AE$222-'I2 CBA Inputs'!AE225,0))</f>
        <v>-1905703.1119171381</v>
      </c>
      <c r="AG125" s="18">
        <f>'I1 General Inputs'!$A17*(IF(Scenario_Select="Scenario 1",'I2 CBA Inputs'!AF$195-'I2 CBA Inputs'!AF198,0)+IF(Scenario_Select="Scenario 2",'I2 CBA Inputs'!AF$204-'I2 CBA Inputs'!AF207,0)+IF(Scenario_Select="Scenario 3",'I2 CBA Inputs'!AF$213-'I2 CBA Inputs'!AF216,0)+IF(Scenario_Select="Scenario 4",'I2 CBA Inputs'!AF$222-'I2 CBA Inputs'!AF225,0))</f>
        <v>0</v>
      </c>
      <c r="AH125" s="18">
        <f>'I1 General Inputs'!$A17*(IF(Scenario_Select="Scenario 1",'I2 CBA Inputs'!AG$195-'I2 CBA Inputs'!AG198,0)+IF(Scenario_Select="Scenario 2",'I2 CBA Inputs'!AG$204-'I2 CBA Inputs'!AG207,0)+IF(Scenario_Select="Scenario 3",'I2 CBA Inputs'!AG$213-'I2 CBA Inputs'!AG216,0)+IF(Scenario_Select="Scenario 4",'I2 CBA Inputs'!AG$222-'I2 CBA Inputs'!AG225,0))</f>
        <v>0</v>
      </c>
      <c r="AI125" s="18">
        <f>'I1 General Inputs'!$A17*(IF(Scenario_Select="Scenario 1",'I2 CBA Inputs'!AH$195-'I2 CBA Inputs'!AH198,0)+IF(Scenario_Select="Scenario 2",'I2 CBA Inputs'!AH$204-'I2 CBA Inputs'!AH207,0)+IF(Scenario_Select="Scenario 3",'I2 CBA Inputs'!AH$213-'I2 CBA Inputs'!AH216,0)+IF(Scenario_Select="Scenario 4",'I2 CBA Inputs'!AH$222-'I2 CBA Inputs'!AH225,0))</f>
        <v>0</v>
      </c>
      <c r="AJ125" s="18">
        <f>'I1 General Inputs'!$A17*(IF(Scenario_Select="Scenario 1",'I2 CBA Inputs'!AI$195-'I2 CBA Inputs'!AI198,0)+IF(Scenario_Select="Scenario 2",'I2 CBA Inputs'!AI$204-'I2 CBA Inputs'!AI207,0)+IF(Scenario_Select="Scenario 3",'I2 CBA Inputs'!AI$213-'I2 CBA Inputs'!AI216,0)+IF(Scenario_Select="Scenario 4",'I2 CBA Inputs'!AI$222-'I2 CBA Inputs'!AI225,0))</f>
        <v>0</v>
      </c>
    </row>
    <row r="126" spans="2:36" x14ac:dyDescent="0.2">
      <c r="B126" s="9">
        <f>+'I1 General Inputs'!$B$18</f>
        <v>4</v>
      </c>
      <c r="C126" s="15" t="str">
        <f>+'I1 General Inputs'!$C$18</f>
        <v>Option 1D</v>
      </c>
      <c r="D126" s="28"/>
      <c r="E126" s="13" t="s">
        <v>35</v>
      </c>
      <c r="F126" s="19">
        <f t="shared" si="33"/>
        <v>89425443.438943207</v>
      </c>
      <c r="G126" s="18">
        <f>IFERROR('I1 General Inputs'!$A18*(IF(Scenario_Select="Scenario 1",'I2 CBA Inputs'!F$195-'I2 CBA Inputs'!F199,0)+IF(Scenario_Select="Scenario 2",'I2 CBA Inputs'!F$204-'I2 CBA Inputs'!F208,0)+IF(Scenario_Select="Scenario 3",'I2 CBA Inputs'!F$213-'I2 CBA Inputs'!F217,0)+IF(Scenario_Select="Scenario 4",'I2 CBA Inputs'!F$222-'I2 CBA Inputs'!F226,0)),0)</f>
        <v>0</v>
      </c>
      <c r="H126" s="18">
        <f>IFERROR('I1 General Inputs'!$A18*(IF(Scenario_Select="Scenario 1",'I2 CBA Inputs'!G$195-'I2 CBA Inputs'!G199,0)+IF(Scenario_Select="Scenario 2",'I2 CBA Inputs'!G$204-'I2 CBA Inputs'!G208,0)+IF(Scenario_Select="Scenario 3",'I2 CBA Inputs'!G$213-'I2 CBA Inputs'!G217,0)+IF(Scenario_Select="Scenario 4",'I2 CBA Inputs'!G$222-'I2 CBA Inputs'!G226,0)),0)</f>
        <v>302.09576845169067</v>
      </c>
      <c r="I126" s="18">
        <f>IFERROR('I1 General Inputs'!$A18*(IF(Scenario_Select="Scenario 1",'I2 CBA Inputs'!H$195-'I2 CBA Inputs'!H199,0)+IF(Scenario_Select="Scenario 2",'I2 CBA Inputs'!H$204-'I2 CBA Inputs'!H208,0)+IF(Scenario_Select="Scenario 3",'I2 CBA Inputs'!H$213-'I2 CBA Inputs'!H217,0)+IF(Scenario_Select="Scenario 4",'I2 CBA Inputs'!H$222-'I2 CBA Inputs'!H226,0)),0)</f>
        <v>3814.4431470632553</v>
      </c>
      <c r="J126" s="18">
        <f>IFERROR('I1 General Inputs'!$A18*(IF(Scenario_Select="Scenario 1",'I2 CBA Inputs'!I$195-'I2 CBA Inputs'!I199,0)+IF(Scenario_Select="Scenario 2",'I2 CBA Inputs'!I$204-'I2 CBA Inputs'!I208,0)+IF(Scenario_Select="Scenario 3",'I2 CBA Inputs'!I$213-'I2 CBA Inputs'!I217,0)+IF(Scenario_Select="Scenario 4",'I2 CBA Inputs'!I$222-'I2 CBA Inputs'!I226,0)),0)</f>
        <v>70857711.872775078</v>
      </c>
      <c r="K126" s="18">
        <f>IFERROR('I1 General Inputs'!$A18*(IF(Scenario_Select="Scenario 1",'I2 CBA Inputs'!J$195-'I2 CBA Inputs'!J199,0)+IF(Scenario_Select="Scenario 2",'I2 CBA Inputs'!J$204-'I2 CBA Inputs'!J208,0)+IF(Scenario_Select="Scenario 3",'I2 CBA Inputs'!J$213-'I2 CBA Inputs'!J217,0)+IF(Scenario_Select="Scenario 4",'I2 CBA Inputs'!J$222-'I2 CBA Inputs'!J226,0)),0)</f>
        <v>36924075.681472659</v>
      </c>
      <c r="L126" s="18">
        <f>IFERROR('I1 General Inputs'!$A18*(IF(Scenario_Select="Scenario 1",'I2 CBA Inputs'!K$195-'I2 CBA Inputs'!K199,0)+IF(Scenario_Select="Scenario 2",'I2 CBA Inputs'!K$204-'I2 CBA Inputs'!K208,0)+IF(Scenario_Select="Scenario 3",'I2 CBA Inputs'!K$213-'I2 CBA Inputs'!K217,0)+IF(Scenario_Select="Scenario 4",'I2 CBA Inputs'!K$222-'I2 CBA Inputs'!K226,0)),0)</f>
        <v>-479522.35573291779</v>
      </c>
      <c r="M126" s="18">
        <f>IFERROR('I1 General Inputs'!$A18*(IF(Scenario_Select="Scenario 1",'I2 CBA Inputs'!L$195-'I2 CBA Inputs'!L199,0)+IF(Scenario_Select="Scenario 2",'I2 CBA Inputs'!L$204-'I2 CBA Inputs'!L208,0)+IF(Scenario_Select="Scenario 3",'I2 CBA Inputs'!L$213-'I2 CBA Inputs'!L217,0)+IF(Scenario_Select="Scenario 4",'I2 CBA Inputs'!L$222-'I2 CBA Inputs'!L226,0)),0)</f>
        <v>6037.2620832920074</v>
      </c>
      <c r="N126" s="18">
        <f>IFERROR('I1 General Inputs'!$A18*(IF(Scenario_Select="Scenario 1",'I2 CBA Inputs'!M$195-'I2 CBA Inputs'!M199,0)+IF(Scenario_Select="Scenario 2",'I2 CBA Inputs'!M$204-'I2 CBA Inputs'!M208,0)+IF(Scenario_Select="Scenario 3",'I2 CBA Inputs'!M$213-'I2 CBA Inputs'!M217,0)+IF(Scenario_Select="Scenario 4",'I2 CBA Inputs'!M$222-'I2 CBA Inputs'!M226,0)),0)</f>
        <v>520206.01118969917</v>
      </c>
      <c r="O126" s="18">
        <f>IFERROR('I1 General Inputs'!$A18*(IF(Scenario_Select="Scenario 1",'I2 CBA Inputs'!N$195-'I2 CBA Inputs'!N199,0)+IF(Scenario_Select="Scenario 2",'I2 CBA Inputs'!N$204-'I2 CBA Inputs'!N208,0)+IF(Scenario_Select="Scenario 3",'I2 CBA Inputs'!N$213-'I2 CBA Inputs'!N217,0)+IF(Scenario_Select="Scenario 4",'I2 CBA Inputs'!N$222-'I2 CBA Inputs'!N226,0)),0)</f>
        <v>-1905198.8982696533</v>
      </c>
      <c r="P126" s="18">
        <f>IFERROR('I1 General Inputs'!$A18*(IF(Scenario_Select="Scenario 1",'I2 CBA Inputs'!O$195-'I2 CBA Inputs'!O199,0)+IF(Scenario_Select="Scenario 2",'I2 CBA Inputs'!O$204-'I2 CBA Inputs'!O208,0)+IF(Scenario_Select="Scenario 3",'I2 CBA Inputs'!O$213-'I2 CBA Inputs'!O217,0)+IF(Scenario_Select="Scenario 4",'I2 CBA Inputs'!O$222-'I2 CBA Inputs'!O226,0)),0)</f>
        <v>56827346.432707787</v>
      </c>
      <c r="Q126" s="18">
        <f>IFERROR('I1 General Inputs'!$A18*(IF(Scenario_Select="Scenario 1",'I2 CBA Inputs'!P$195-'I2 CBA Inputs'!P199,0)+IF(Scenario_Select="Scenario 2",'I2 CBA Inputs'!P$204-'I2 CBA Inputs'!P208,0)+IF(Scenario_Select="Scenario 3",'I2 CBA Inputs'!P$213-'I2 CBA Inputs'!P217,0)+IF(Scenario_Select="Scenario 4",'I2 CBA Inputs'!P$222-'I2 CBA Inputs'!P226,0)),0)</f>
        <v>-73889272.741344929</v>
      </c>
      <c r="R126" s="18">
        <f>IFERROR('I1 General Inputs'!$A18*(IF(Scenario_Select="Scenario 1",'I2 CBA Inputs'!Q$195-'I2 CBA Inputs'!Q199,0)+IF(Scenario_Select="Scenario 2",'I2 CBA Inputs'!Q$204-'I2 CBA Inputs'!Q208,0)+IF(Scenario_Select="Scenario 3",'I2 CBA Inputs'!Q$213-'I2 CBA Inputs'!Q217,0)+IF(Scenario_Select="Scenario 4",'I2 CBA Inputs'!Q$222-'I2 CBA Inputs'!Q226,0)),0)</f>
        <v>403541.37127709389</v>
      </c>
      <c r="S126" s="18">
        <f>IFERROR('I1 General Inputs'!$A18*(IF(Scenario_Select="Scenario 1",'I2 CBA Inputs'!R$195-'I2 CBA Inputs'!R199,0)+IF(Scenario_Select="Scenario 2",'I2 CBA Inputs'!R$204-'I2 CBA Inputs'!R208,0)+IF(Scenario_Select="Scenario 3",'I2 CBA Inputs'!R$213-'I2 CBA Inputs'!R217,0)+IF(Scenario_Select="Scenario 4",'I2 CBA Inputs'!R$222-'I2 CBA Inputs'!R226,0)),0)</f>
        <v>90978351.308755875</v>
      </c>
      <c r="T126" s="18">
        <f>IFERROR('I1 General Inputs'!$A18*(IF(Scenario_Select="Scenario 1",'I2 CBA Inputs'!S$195-'I2 CBA Inputs'!S199,0)+IF(Scenario_Select="Scenario 2",'I2 CBA Inputs'!S$204-'I2 CBA Inputs'!S208,0)+IF(Scenario_Select="Scenario 3",'I2 CBA Inputs'!S$213-'I2 CBA Inputs'!S217,0)+IF(Scenario_Select="Scenario 4",'I2 CBA Inputs'!S$222-'I2 CBA Inputs'!S226,0)),0)</f>
        <v>-14311526.00780201</v>
      </c>
      <c r="U126" s="18">
        <f>IFERROR('I1 General Inputs'!$A18*(IF(Scenario_Select="Scenario 1",'I2 CBA Inputs'!T$195-'I2 CBA Inputs'!T199,0)+IF(Scenario_Select="Scenario 2",'I2 CBA Inputs'!T$204-'I2 CBA Inputs'!T208,0)+IF(Scenario_Select="Scenario 3",'I2 CBA Inputs'!T$213-'I2 CBA Inputs'!T217,0)+IF(Scenario_Select="Scenario 4",'I2 CBA Inputs'!T$222-'I2 CBA Inputs'!T226,0)),0)</f>
        <v>-15302957.732357502</v>
      </c>
      <c r="V126" s="18">
        <f>IFERROR('I1 General Inputs'!$A18*(IF(Scenario_Select="Scenario 1",'I2 CBA Inputs'!U$195-'I2 CBA Inputs'!U199,0)+IF(Scenario_Select="Scenario 2",'I2 CBA Inputs'!U$204-'I2 CBA Inputs'!U208,0)+IF(Scenario_Select="Scenario 3",'I2 CBA Inputs'!U$213-'I2 CBA Inputs'!U217,0)+IF(Scenario_Select="Scenario 4",'I2 CBA Inputs'!U$222-'I2 CBA Inputs'!U226,0)),0)</f>
        <v>12035947.379051924</v>
      </c>
      <c r="W126" s="18">
        <f>IFERROR('I1 General Inputs'!$A18*(IF(Scenario_Select="Scenario 1",'I2 CBA Inputs'!V$195-'I2 CBA Inputs'!V199,0)+IF(Scenario_Select="Scenario 2",'I2 CBA Inputs'!V$204-'I2 CBA Inputs'!V208,0)+IF(Scenario_Select="Scenario 3",'I2 CBA Inputs'!V$213-'I2 CBA Inputs'!V217,0)+IF(Scenario_Select="Scenario 4",'I2 CBA Inputs'!V$222-'I2 CBA Inputs'!V226,0)),0)</f>
        <v>36495438.037158966</v>
      </c>
      <c r="X126" s="18">
        <f>IFERROR('I1 General Inputs'!$A18*(IF(Scenario_Select="Scenario 1",'I2 CBA Inputs'!W$195-'I2 CBA Inputs'!W199,0)+IF(Scenario_Select="Scenario 2",'I2 CBA Inputs'!W$204-'I2 CBA Inputs'!W208,0)+IF(Scenario_Select="Scenario 3",'I2 CBA Inputs'!W$213-'I2 CBA Inputs'!W217,0)+IF(Scenario_Select="Scenario 4",'I2 CBA Inputs'!W$222-'I2 CBA Inputs'!W226,0)),0)</f>
        <v>-117150288.55830431</v>
      </c>
      <c r="Y126" s="18">
        <f>IFERROR('I1 General Inputs'!$A18*(IF(Scenario_Select="Scenario 1",'I2 CBA Inputs'!X$195-'I2 CBA Inputs'!X199,0)+IF(Scenario_Select="Scenario 2",'I2 CBA Inputs'!X$204-'I2 CBA Inputs'!X208,0)+IF(Scenario_Select="Scenario 3",'I2 CBA Inputs'!X$213-'I2 CBA Inputs'!X217,0)+IF(Scenario_Select="Scenario 4",'I2 CBA Inputs'!X$222-'I2 CBA Inputs'!X226,0)),0)</f>
        <v>-3286305.9905411005</v>
      </c>
      <c r="Z126" s="18">
        <f>IFERROR('I1 General Inputs'!$A18*(IF(Scenario_Select="Scenario 1",'I2 CBA Inputs'!Y$195-'I2 CBA Inputs'!Y199,0)+IF(Scenario_Select="Scenario 2",'I2 CBA Inputs'!Y$204-'I2 CBA Inputs'!Y208,0)+IF(Scenario_Select="Scenario 3",'I2 CBA Inputs'!Y$213-'I2 CBA Inputs'!Y217,0)+IF(Scenario_Select="Scenario 4",'I2 CBA Inputs'!Y$222-'I2 CBA Inputs'!Y226,0)),0)</f>
        <v>-3684497.6245920658</v>
      </c>
      <c r="AA126" s="18">
        <f>IFERROR('I1 General Inputs'!$A18*(IF(Scenario_Select="Scenario 1",'I2 CBA Inputs'!Z$195-'I2 CBA Inputs'!Z199,0)+IF(Scenario_Select="Scenario 2",'I2 CBA Inputs'!Z$204-'I2 CBA Inputs'!Z208,0)+IF(Scenario_Select="Scenario 3",'I2 CBA Inputs'!Z$213-'I2 CBA Inputs'!Z217,0)+IF(Scenario_Select="Scenario 4",'I2 CBA Inputs'!Z$222-'I2 CBA Inputs'!Z226,0)),0)</f>
        <v>54239360.707552433</v>
      </c>
      <c r="AB126" s="18">
        <f>IFERROR('I1 General Inputs'!$A18*(IF(Scenario_Select="Scenario 1",'I2 CBA Inputs'!AA$195-'I2 CBA Inputs'!AA199,0)+IF(Scenario_Select="Scenario 2",'I2 CBA Inputs'!AA$204-'I2 CBA Inputs'!AA208,0)+IF(Scenario_Select="Scenario 3",'I2 CBA Inputs'!AA$213-'I2 CBA Inputs'!AA217,0)+IF(Scenario_Select="Scenario 4",'I2 CBA Inputs'!AA$222-'I2 CBA Inputs'!AA226,0)),0)</f>
        <v>-49599565.248976946</v>
      </c>
      <c r="AC126" s="18">
        <f>IFERROR('I1 General Inputs'!$A18*(IF(Scenario_Select="Scenario 1",'I2 CBA Inputs'!AB$195-'I2 CBA Inputs'!AB199,0)+IF(Scenario_Select="Scenario 2",'I2 CBA Inputs'!AB$204-'I2 CBA Inputs'!AB208,0)+IF(Scenario_Select="Scenario 3",'I2 CBA Inputs'!AB$213-'I2 CBA Inputs'!AB217,0)+IF(Scenario_Select="Scenario 4",'I2 CBA Inputs'!AB$222-'I2 CBA Inputs'!AB226,0)),0)</f>
        <v>5634783.5307228565</v>
      </c>
      <c r="AD126" s="18">
        <f>IFERROR('I1 General Inputs'!$A18*(IF(Scenario_Select="Scenario 1",'I2 CBA Inputs'!AC$195-'I2 CBA Inputs'!AC199,0)+IF(Scenario_Select="Scenario 2",'I2 CBA Inputs'!AC$204-'I2 CBA Inputs'!AC208,0)+IF(Scenario_Select="Scenario 3",'I2 CBA Inputs'!AC$213-'I2 CBA Inputs'!AC217,0)+IF(Scenario_Select="Scenario 4",'I2 CBA Inputs'!AC$222-'I2 CBA Inputs'!AC226,0)),0)</f>
        <v>-2405294.4324885607</v>
      </c>
      <c r="AE126" s="18">
        <f>IFERROR('I1 General Inputs'!$A18*(IF(Scenario_Select="Scenario 1",'I2 CBA Inputs'!AD$195-'I2 CBA Inputs'!AD199,0)+IF(Scenario_Select="Scenario 2",'I2 CBA Inputs'!AD$204-'I2 CBA Inputs'!AD208,0)+IF(Scenario_Select="Scenario 3",'I2 CBA Inputs'!AD$213-'I2 CBA Inputs'!AD217,0)+IF(Scenario_Select="Scenario 4",'I2 CBA Inputs'!AD$222-'I2 CBA Inputs'!AD226,0)),0)</f>
        <v>5723096.3010072708</v>
      </c>
      <c r="AF126" s="18">
        <f>'I1 General Inputs'!$A18*(IF(Scenario_Select="Scenario 1",'I2 CBA Inputs'!AE$195-'I2 CBA Inputs'!AE199,0)+IF(Scenario_Select="Scenario 2",'I2 CBA Inputs'!AE$204-'I2 CBA Inputs'!AE208,0)+IF(Scenario_Select="Scenario 3",'I2 CBA Inputs'!AE$213-'I2 CBA Inputs'!AE217,0)+IF(Scenario_Select="Scenario 4",'I2 CBA Inputs'!AE$222-'I2 CBA Inputs'!AE226,0))</f>
        <v>-3188756.1910295486</v>
      </c>
      <c r="AG126" s="18">
        <f>'I1 General Inputs'!$A18*(IF(Scenario_Select="Scenario 1",'I2 CBA Inputs'!AF$195-'I2 CBA Inputs'!AF199,0)+IF(Scenario_Select="Scenario 2",'I2 CBA Inputs'!AF$204-'I2 CBA Inputs'!AF208,0)+IF(Scenario_Select="Scenario 3",'I2 CBA Inputs'!AF$213-'I2 CBA Inputs'!AF217,0)+IF(Scenario_Select="Scenario 4",'I2 CBA Inputs'!AF$222-'I2 CBA Inputs'!AF226,0))</f>
        <v>0</v>
      </c>
      <c r="AH126" s="18">
        <f>'I1 General Inputs'!$A18*(IF(Scenario_Select="Scenario 1",'I2 CBA Inputs'!AG$195-'I2 CBA Inputs'!AG199,0)+IF(Scenario_Select="Scenario 2",'I2 CBA Inputs'!AG$204-'I2 CBA Inputs'!AG208,0)+IF(Scenario_Select="Scenario 3",'I2 CBA Inputs'!AG$213-'I2 CBA Inputs'!AG217,0)+IF(Scenario_Select="Scenario 4",'I2 CBA Inputs'!AG$222-'I2 CBA Inputs'!AG226,0))</f>
        <v>0</v>
      </c>
      <c r="AI126" s="18">
        <f>'I1 General Inputs'!$A18*(IF(Scenario_Select="Scenario 1",'I2 CBA Inputs'!AH$195-'I2 CBA Inputs'!AH199,0)+IF(Scenario_Select="Scenario 2",'I2 CBA Inputs'!AH$204-'I2 CBA Inputs'!AH208,0)+IF(Scenario_Select="Scenario 3",'I2 CBA Inputs'!AH$213-'I2 CBA Inputs'!AH217,0)+IF(Scenario_Select="Scenario 4",'I2 CBA Inputs'!AH$222-'I2 CBA Inputs'!AH226,0))</f>
        <v>0</v>
      </c>
      <c r="AJ126" s="18">
        <f>'I1 General Inputs'!$A18*(IF(Scenario_Select="Scenario 1",'I2 CBA Inputs'!AI$195-'I2 CBA Inputs'!AI199,0)+IF(Scenario_Select="Scenario 2",'I2 CBA Inputs'!AI$204-'I2 CBA Inputs'!AI208,0)+IF(Scenario_Select="Scenario 3",'I2 CBA Inputs'!AI$213-'I2 CBA Inputs'!AI217,0)+IF(Scenario_Select="Scenario 4",'I2 CBA Inputs'!AI$222-'I2 CBA Inputs'!AI226,0))</f>
        <v>0</v>
      </c>
    </row>
    <row r="127" spans="2:36" x14ac:dyDescent="0.2">
      <c r="B127" s="9">
        <f>+'I1 General Inputs'!$B$19</f>
        <v>5</v>
      </c>
      <c r="C127" s="15" t="str">
        <f>+'I1 General Inputs'!$C$19</f>
        <v>Option 5A</v>
      </c>
      <c r="D127" s="28"/>
      <c r="E127" s="13" t="s">
        <v>35</v>
      </c>
      <c r="F127" s="19">
        <f t="shared" si="33"/>
        <v>0</v>
      </c>
      <c r="G127" s="18">
        <f>IFERROR('I1 General Inputs'!$A19*(IF(Scenario_Select="Scenario 1",'I2 CBA Inputs'!F$195-'I2 CBA Inputs'!F200,0)+IF(Scenario_Select="Scenario 2",'I2 CBA Inputs'!F$204-'I2 CBA Inputs'!F209,0)+IF(Scenario_Select="Scenario 3",'I2 CBA Inputs'!F$213-'I2 CBA Inputs'!F218,0)+IF(Scenario_Select="Scenario 4",'I2 CBA Inputs'!F$222-'I2 CBA Inputs'!F227,0)),0)</f>
        <v>0</v>
      </c>
      <c r="H127" s="18">
        <f>IFERROR('I1 General Inputs'!$A19*(IF(Scenario_Select="Scenario 1",'I2 CBA Inputs'!G$195-'I2 CBA Inputs'!G200,0)+IF(Scenario_Select="Scenario 2",'I2 CBA Inputs'!G$204-'I2 CBA Inputs'!G209,0)+IF(Scenario_Select="Scenario 3",'I2 CBA Inputs'!G$213-'I2 CBA Inputs'!G218,0)+IF(Scenario_Select="Scenario 4",'I2 CBA Inputs'!G$222-'I2 CBA Inputs'!G227,0)),0)</f>
        <v>0</v>
      </c>
      <c r="I127" s="18">
        <f>IFERROR('I1 General Inputs'!$A19*(IF(Scenario_Select="Scenario 1",'I2 CBA Inputs'!H$195-'I2 CBA Inputs'!H200,0)+IF(Scenario_Select="Scenario 2",'I2 CBA Inputs'!H$204-'I2 CBA Inputs'!H209,0)+IF(Scenario_Select="Scenario 3",'I2 CBA Inputs'!H$213-'I2 CBA Inputs'!H218,0)+IF(Scenario_Select="Scenario 4",'I2 CBA Inputs'!H$222-'I2 CBA Inputs'!H227,0)),0)</f>
        <v>0</v>
      </c>
      <c r="J127" s="18">
        <f>IFERROR('I1 General Inputs'!$A19*(IF(Scenario_Select="Scenario 1",'I2 CBA Inputs'!I$195-'I2 CBA Inputs'!I200,0)+IF(Scenario_Select="Scenario 2",'I2 CBA Inputs'!I$204-'I2 CBA Inputs'!I209,0)+IF(Scenario_Select="Scenario 3",'I2 CBA Inputs'!I$213-'I2 CBA Inputs'!I218,0)+IF(Scenario_Select="Scenario 4",'I2 CBA Inputs'!I$222-'I2 CBA Inputs'!I227,0)),0)</f>
        <v>0</v>
      </c>
      <c r="K127" s="18">
        <f>IFERROR('I1 General Inputs'!$A19*(IF(Scenario_Select="Scenario 1",'I2 CBA Inputs'!J$195-'I2 CBA Inputs'!J200,0)+IF(Scenario_Select="Scenario 2",'I2 CBA Inputs'!J$204-'I2 CBA Inputs'!J209,0)+IF(Scenario_Select="Scenario 3",'I2 CBA Inputs'!J$213-'I2 CBA Inputs'!J218,0)+IF(Scenario_Select="Scenario 4",'I2 CBA Inputs'!J$222-'I2 CBA Inputs'!J227,0)),0)</f>
        <v>0</v>
      </c>
      <c r="L127" s="18">
        <f>IFERROR('I1 General Inputs'!$A19*(IF(Scenario_Select="Scenario 1",'I2 CBA Inputs'!K$195-'I2 CBA Inputs'!K200,0)+IF(Scenario_Select="Scenario 2",'I2 CBA Inputs'!K$204-'I2 CBA Inputs'!K209,0)+IF(Scenario_Select="Scenario 3",'I2 CBA Inputs'!K$213-'I2 CBA Inputs'!K218,0)+IF(Scenario_Select="Scenario 4",'I2 CBA Inputs'!K$222-'I2 CBA Inputs'!K227,0)),0)</f>
        <v>0</v>
      </c>
      <c r="M127" s="18">
        <f>IFERROR('I1 General Inputs'!$A19*(IF(Scenario_Select="Scenario 1",'I2 CBA Inputs'!L$195-'I2 CBA Inputs'!L200,0)+IF(Scenario_Select="Scenario 2",'I2 CBA Inputs'!L$204-'I2 CBA Inputs'!L209,0)+IF(Scenario_Select="Scenario 3",'I2 CBA Inputs'!L$213-'I2 CBA Inputs'!L218,0)+IF(Scenario_Select="Scenario 4",'I2 CBA Inputs'!L$222-'I2 CBA Inputs'!L227,0)),0)</f>
        <v>0</v>
      </c>
      <c r="N127" s="18">
        <f>IFERROR('I1 General Inputs'!$A19*(IF(Scenario_Select="Scenario 1",'I2 CBA Inputs'!M$195-'I2 CBA Inputs'!M200,0)+IF(Scenario_Select="Scenario 2",'I2 CBA Inputs'!M$204-'I2 CBA Inputs'!M209,0)+IF(Scenario_Select="Scenario 3",'I2 CBA Inputs'!M$213-'I2 CBA Inputs'!M218,0)+IF(Scenario_Select="Scenario 4",'I2 CBA Inputs'!M$222-'I2 CBA Inputs'!M227,0)),0)</f>
        <v>0</v>
      </c>
      <c r="O127" s="18">
        <f>IFERROR('I1 General Inputs'!$A19*(IF(Scenario_Select="Scenario 1",'I2 CBA Inputs'!N$195-'I2 CBA Inputs'!N200,0)+IF(Scenario_Select="Scenario 2",'I2 CBA Inputs'!N$204-'I2 CBA Inputs'!N209,0)+IF(Scenario_Select="Scenario 3",'I2 CBA Inputs'!N$213-'I2 CBA Inputs'!N218,0)+IF(Scenario_Select="Scenario 4",'I2 CBA Inputs'!N$222-'I2 CBA Inputs'!N227,0)),0)</f>
        <v>0</v>
      </c>
      <c r="P127" s="18">
        <f>IFERROR('I1 General Inputs'!$A19*(IF(Scenario_Select="Scenario 1",'I2 CBA Inputs'!O$195-'I2 CBA Inputs'!O200,0)+IF(Scenario_Select="Scenario 2",'I2 CBA Inputs'!O$204-'I2 CBA Inputs'!O209,0)+IF(Scenario_Select="Scenario 3",'I2 CBA Inputs'!O$213-'I2 CBA Inputs'!O218,0)+IF(Scenario_Select="Scenario 4",'I2 CBA Inputs'!O$222-'I2 CBA Inputs'!O227,0)),0)</f>
        <v>0</v>
      </c>
      <c r="Q127" s="18">
        <f>IFERROR('I1 General Inputs'!$A19*(IF(Scenario_Select="Scenario 1",'I2 CBA Inputs'!P$195-'I2 CBA Inputs'!P200,0)+IF(Scenario_Select="Scenario 2",'I2 CBA Inputs'!P$204-'I2 CBA Inputs'!P209,0)+IF(Scenario_Select="Scenario 3",'I2 CBA Inputs'!P$213-'I2 CBA Inputs'!P218,0)+IF(Scenario_Select="Scenario 4",'I2 CBA Inputs'!P$222-'I2 CBA Inputs'!P227,0)),0)</f>
        <v>0</v>
      </c>
      <c r="R127" s="18">
        <f>IFERROR('I1 General Inputs'!$A19*(IF(Scenario_Select="Scenario 1",'I2 CBA Inputs'!Q$195-'I2 CBA Inputs'!Q200,0)+IF(Scenario_Select="Scenario 2",'I2 CBA Inputs'!Q$204-'I2 CBA Inputs'!Q209,0)+IF(Scenario_Select="Scenario 3",'I2 CBA Inputs'!Q$213-'I2 CBA Inputs'!Q218,0)+IF(Scenario_Select="Scenario 4",'I2 CBA Inputs'!Q$222-'I2 CBA Inputs'!Q227,0)),0)</f>
        <v>0</v>
      </c>
      <c r="S127" s="18">
        <f>IFERROR('I1 General Inputs'!$A19*(IF(Scenario_Select="Scenario 1",'I2 CBA Inputs'!R$195-'I2 CBA Inputs'!R200,0)+IF(Scenario_Select="Scenario 2",'I2 CBA Inputs'!R$204-'I2 CBA Inputs'!R209,0)+IF(Scenario_Select="Scenario 3",'I2 CBA Inputs'!R$213-'I2 CBA Inputs'!R218,0)+IF(Scenario_Select="Scenario 4",'I2 CBA Inputs'!R$222-'I2 CBA Inputs'!R227,0)),0)</f>
        <v>0</v>
      </c>
      <c r="T127" s="18">
        <f>IFERROR('I1 General Inputs'!$A19*(IF(Scenario_Select="Scenario 1",'I2 CBA Inputs'!S$195-'I2 CBA Inputs'!S200,0)+IF(Scenario_Select="Scenario 2",'I2 CBA Inputs'!S$204-'I2 CBA Inputs'!S209,0)+IF(Scenario_Select="Scenario 3",'I2 CBA Inputs'!S$213-'I2 CBA Inputs'!S218,0)+IF(Scenario_Select="Scenario 4",'I2 CBA Inputs'!S$222-'I2 CBA Inputs'!S227,0)),0)</f>
        <v>0</v>
      </c>
      <c r="U127" s="18">
        <f>IFERROR('I1 General Inputs'!$A19*(IF(Scenario_Select="Scenario 1",'I2 CBA Inputs'!T$195-'I2 CBA Inputs'!T200,0)+IF(Scenario_Select="Scenario 2",'I2 CBA Inputs'!T$204-'I2 CBA Inputs'!T209,0)+IF(Scenario_Select="Scenario 3",'I2 CBA Inputs'!T$213-'I2 CBA Inputs'!T218,0)+IF(Scenario_Select="Scenario 4",'I2 CBA Inputs'!T$222-'I2 CBA Inputs'!T227,0)),0)</f>
        <v>0</v>
      </c>
      <c r="V127" s="18">
        <f>IFERROR('I1 General Inputs'!$A19*(IF(Scenario_Select="Scenario 1",'I2 CBA Inputs'!U$195-'I2 CBA Inputs'!U200,0)+IF(Scenario_Select="Scenario 2",'I2 CBA Inputs'!U$204-'I2 CBA Inputs'!U209,0)+IF(Scenario_Select="Scenario 3",'I2 CBA Inputs'!U$213-'I2 CBA Inputs'!U218,0)+IF(Scenario_Select="Scenario 4",'I2 CBA Inputs'!U$222-'I2 CBA Inputs'!U227,0)),0)</f>
        <v>0</v>
      </c>
      <c r="W127" s="18">
        <f>IFERROR('I1 General Inputs'!$A19*(IF(Scenario_Select="Scenario 1",'I2 CBA Inputs'!V$195-'I2 CBA Inputs'!V200,0)+IF(Scenario_Select="Scenario 2",'I2 CBA Inputs'!V$204-'I2 CBA Inputs'!V209,0)+IF(Scenario_Select="Scenario 3",'I2 CBA Inputs'!V$213-'I2 CBA Inputs'!V218,0)+IF(Scenario_Select="Scenario 4",'I2 CBA Inputs'!V$222-'I2 CBA Inputs'!V227,0)),0)</f>
        <v>0</v>
      </c>
      <c r="X127" s="18">
        <f>IFERROR('I1 General Inputs'!$A19*(IF(Scenario_Select="Scenario 1",'I2 CBA Inputs'!W$195-'I2 CBA Inputs'!W200,0)+IF(Scenario_Select="Scenario 2",'I2 CBA Inputs'!W$204-'I2 CBA Inputs'!W209,0)+IF(Scenario_Select="Scenario 3",'I2 CBA Inputs'!W$213-'I2 CBA Inputs'!W218,0)+IF(Scenario_Select="Scenario 4",'I2 CBA Inputs'!W$222-'I2 CBA Inputs'!W227,0)),0)</f>
        <v>0</v>
      </c>
      <c r="Y127" s="18">
        <f>IFERROR('I1 General Inputs'!$A19*(IF(Scenario_Select="Scenario 1",'I2 CBA Inputs'!X$195-'I2 CBA Inputs'!X200,0)+IF(Scenario_Select="Scenario 2",'I2 CBA Inputs'!X$204-'I2 CBA Inputs'!X209,0)+IF(Scenario_Select="Scenario 3",'I2 CBA Inputs'!X$213-'I2 CBA Inputs'!X218,0)+IF(Scenario_Select="Scenario 4",'I2 CBA Inputs'!X$222-'I2 CBA Inputs'!X227,0)),0)</f>
        <v>0</v>
      </c>
      <c r="Z127" s="18">
        <f>IFERROR('I1 General Inputs'!$A19*(IF(Scenario_Select="Scenario 1",'I2 CBA Inputs'!Y$195-'I2 CBA Inputs'!Y200,0)+IF(Scenario_Select="Scenario 2",'I2 CBA Inputs'!Y$204-'I2 CBA Inputs'!Y209,0)+IF(Scenario_Select="Scenario 3",'I2 CBA Inputs'!Y$213-'I2 CBA Inputs'!Y218,0)+IF(Scenario_Select="Scenario 4",'I2 CBA Inputs'!Y$222-'I2 CBA Inputs'!Y227,0)),0)</f>
        <v>0</v>
      </c>
      <c r="AA127" s="18">
        <f>IFERROR('I1 General Inputs'!$A19*(IF(Scenario_Select="Scenario 1",'I2 CBA Inputs'!Z$195-'I2 CBA Inputs'!Z200,0)+IF(Scenario_Select="Scenario 2",'I2 CBA Inputs'!Z$204-'I2 CBA Inputs'!Z209,0)+IF(Scenario_Select="Scenario 3",'I2 CBA Inputs'!Z$213-'I2 CBA Inputs'!Z218,0)+IF(Scenario_Select="Scenario 4",'I2 CBA Inputs'!Z$222-'I2 CBA Inputs'!Z227,0)),0)</f>
        <v>0</v>
      </c>
      <c r="AB127" s="18">
        <f>IFERROR('I1 General Inputs'!$A19*(IF(Scenario_Select="Scenario 1",'I2 CBA Inputs'!AA$195-'I2 CBA Inputs'!AA200,0)+IF(Scenario_Select="Scenario 2",'I2 CBA Inputs'!AA$204-'I2 CBA Inputs'!AA209,0)+IF(Scenario_Select="Scenario 3",'I2 CBA Inputs'!AA$213-'I2 CBA Inputs'!AA218,0)+IF(Scenario_Select="Scenario 4",'I2 CBA Inputs'!AA$222-'I2 CBA Inputs'!AA227,0)),0)</f>
        <v>0</v>
      </c>
      <c r="AC127" s="18">
        <f>IFERROR('I1 General Inputs'!$A19*(IF(Scenario_Select="Scenario 1",'I2 CBA Inputs'!AB$195-'I2 CBA Inputs'!AB200,0)+IF(Scenario_Select="Scenario 2",'I2 CBA Inputs'!AB$204-'I2 CBA Inputs'!AB209,0)+IF(Scenario_Select="Scenario 3",'I2 CBA Inputs'!AB$213-'I2 CBA Inputs'!AB218,0)+IF(Scenario_Select="Scenario 4",'I2 CBA Inputs'!AB$222-'I2 CBA Inputs'!AB227,0)),0)</f>
        <v>0</v>
      </c>
      <c r="AD127" s="18">
        <f>IFERROR('I1 General Inputs'!$A19*(IF(Scenario_Select="Scenario 1",'I2 CBA Inputs'!AC$195-'I2 CBA Inputs'!AC200,0)+IF(Scenario_Select="Scenario 2",'I2 CBA Inputs'!AC$204-'I2 CBA Inputs'!AC209,0)+IF(Scenario_Select="Scenario 3",'I2 CBA Inputs'!AC$213-'I2 CBA Inputs'!AC218,0)+IF(Scenario_Select="Scenario 4",'I2 CBA Inputs'!AC$222-'I2 CBA Inputs'!AC227,0)),0)</f>
        <v>0</v>
      </c>
      <c r="AE127" s="18">
        <f>IFERROR('I1 General Inputs'!$A19*(IF(Scenario_Select="Scenario 1",'I2 CBA Inputs'!AD$195-'I2 CBA Inputs'!AD200,0)+IF(Scenario_Select="Scenario 2",'I2 CBA Inputs'!AD$204-'I2 CBA Inputs'!AD209,0)+IF(Scenario_Select="Scenario 3",'I2 CBA Inputs'!AD$213-'I2 CBA Inputs'!AD218,0)+IF(Scenario_Select="Scenario 4",'I2 CBA Inputs'!AD$222-'I2 CBA Inputs'!AD227,0)),0)</f>
        <v>0</v>
      </c>
      <c r="AF127" s="18">
        <f>'I1 General Inputs'!$A19*(IF(Scenario_Select="Scenario 1",'I2 CBA Inputs'!AE$195-'I2 CBA Inputs'!AE200,0)+IF(Scenario_Select="Scenario 2",'I2 CBA Inputs'!AE$204-'I2 CBA Inputs'!AE209,0)+IF(Scenario_Select="Scenario 3",'I2 CBA Inputs'!AE$213-'I2 CBA Inputs'!AE218,0)+IF(Scenario_Select="Scenario 4",'I2 CBA Inputs'!AE$222-'I2 CBA Inputs'!AE227,0))</f>
        <v>0</v>
      </c>
      <c r="AG127" s="18">
        <f>'I1 General Inputs'!$A19*(IF(Scenario_Select="Scenario 1",'I2 CBA Inputs'!AF$195-'I2 CBA Inputs'!AF200,0)+IF(Scenario_Select="Scenario 2",'I2 CBA Inputs'!AF$204-'I2 CBA Inputs'!AF209,0)+IF(Scenario_Select="Scenario 3",'I2 CBA Inputs'!AF$213-'I2 CBA Inputs'!AF218,0)+IF(Scenario_Select="Scenario 4",'I2 CBA Inputs'!AF$222-'I2 CBA Inputs'!AF227,0))</f>
        <v>0</v>
      </c>
      <c r="AH127" s="18">
        <f>'I1 General Inputs'!$A19*(IF(Scenario_Select="Scenario 1",'I2 CBA Inputs'!AG$195-'I2 CBA Inputs'!AG200,0)+IF(Scenario_Select="Scenario 2",'I2 CBA Inputs'!AG$204-'I2 CBA Inputs'!AG209,0)+IF(Scenario_Select="Scenario 3",'I2 CBA Inputs'!AG$213-'I2 CBA Inputs'!AG218,0)+IF(Scenario_Select="Scenario 4",'I2 CBA Inputs'!AG$222-'I2 CBA Inputs'!AG227,0))</f>
        <v>0</v>
      </c>
      <c r="AI127" s="18">
        <f>'I1 General Inputs'!$A19*(IF(Scenario_Select="Scenario 1",'I2 CBA Inputs'!AH$195-'I2 CBA Inputs'!AH200,0)+IF(Scenario_Select="Scenario 2",'I2 CBA Inputs'!AH$204-'I2 CBA Inputs'!AH209,0)+IF(Scenario_Select="Scenario 3",'I2 CBA Inputs'!AH$213-'I2 CBA Inputs'!AH218,0)+IF(Scenario_Select="Scenario 4",'I2 CBA Inputs'!AH$222-'I2 CBA Inputs'!AH227,0))</f>
        <v>0</v>
      </c>
      <c r="AJ127" s="18">
        <f>'I1 General Inputs'!$A19*(IF(Scenario_Select="Scenario 1",'I2 CBA Inputs'!AI$195-'I2 CBA Inputs'!AI200,0)+IF(Scenario_Select="Scenario 2",'I2 CBA Inputs'!AI$204-'I2 CBA Inputs'!AI209,0)+IF(Scenario_Select="Scenario 3",'I2 CBA Inputs'!AI$213-'I2 CBA Inputs'!AI218,0)+IF(Scenario_Select="Scenario 4",'I2 CBA Inputs'!AI$222-'I2 CBA Inputs'!AI227,0))</f>
        <v>0</v>
      </c>
    </row>
    <row r="128" spans="2:36" x14ac:dyDescent="0.2">
      <c r="B128" s="9">
        <f>+'I1 General Inputs'!$B$20</f>
        <v>6</v>
      </c>
      <c r="C128" s="15" t="str">
        <f>+'I1 General Inputs'!$C$20</f>
        <v>Option 5B</v>
      </c>
      <c r="D128" s="28"/>
      <c r="E128" s="13" t="s">
        <v>35</v>
      </c>
      <c r="F128" s="19">
        <f t="shared" si="33"/>
        <v>424704957.62105376</v>
      </c>
      <c r="G128" s="18">
        <f>IFERROR('I1 General Inputs'!$A20*(IF(Scenario_Select="Scenario 1",'I2 CBA Inputs'!F$195-'I2 CBA Inputs'!F201,0)+IF(Scenario_Select="Scenario 2",'I2 CBA Inputs'!F$204-'I2 CBA Inputs'!F210,0)+IF(Scenario_Select="Scenario 3",'I2 CBA Inputs'!F$213-'I2 CBA Inputs'!F219,0)+IF(Scenario_Select="Scenario 4",'I2 CBA Inputs'!F$222-'I2 CBA Inputs'!F228,0)),0)</f>
        <v>0</v>
      </c>
      <c r="H128" s="18">
        <f>IFERROR('I1 General Inputs'!$A20*(IF(Scenario_Select="Scenario 1",'I2 CBA Inputs'!G$195-'I2 CBA Inputs'!G201,0)+IF(Scenario_Select="Scenario 2",'I2 CBA Inputs'!G$204-'I2 CBA Inputs'!G210,0)+IF(Scenario_Select="Scenario 3",'I2 CBA Inputs'!G$213-'I2 CBA Inputs'!G219,0)+IF(Scenario_Select="Scenario 4",'I2 CBA Inputs'!G$222-'I2 CBA Inputs'!G228,0)),0)</f>
        <v>140.93875253200531</v>
      </c>
      <c r="I128" s="18">
        <f>IFERROR('I1 General Inputs'!$A20*(IF(Scenario_Select="Scenario 1",'I2 CBA Inputs'!H$195-'I2 CBA Inputs'!H201,0)+IF(Scenario_Select="Scenario 2",'I2 CBA Inputs'!H$204-'I2 CBA Inputs'!H210,0)+IF(Scenario_Select="Scenario 3",'I2 CBA Inputs'!H$213-'I2 CBA Inputs'!H219,0)+IF(Scenario_Select="Scenario 4",'I2 CBA Inputs'!H$222-'I2 CBA Inputs'!H228,0)),0)</f>
        <v>16677.96172618866</v>
      </c>
      <c r="J128" s="18">
        <f>IFERROR('I1 General Inputs'!$A20*(IF(Scenario_Select="Scenario 1",'I2 CBA Inputs'!I$195-'I2 CBA Inputs'!I201,0)+IF(Scenario_Select="Scenario 2",'I2 CBA Inputs'!I$204-'I2 CBA Inputs'!I210,0)+IF(Scenario_Select="Scenario 3",'I2 CBA Inputs'!I$213-'I2 CBA Inputs'!I219,0)+IF(Scenario_Select="Scenario 4",'I2 CBA Inputs'!I$222-'I2 CBA Inputs'!I228,0)),0)</f>
        <v>173294884.50582743</v>
      </c>
      <c r="K128" s="18">
        <f>IFERROR('I1 General Inputs'!$A20*(IF(Scenario_Select="Scenario 1",'I2 CBA Inputs'!J$195-'I2 CBA Inputs'!J201,0)+IF(Scenario_Select="Scenario 2",'I2 CBA Inputs'!J$204-'I2 CBA Inputs'!J210,0)+IF(Scenario_Select="Scenario 3",'I2 CBA Inputs'!J$213-'I2 CBA Inputs'!J219,0)+IF(Scenario_Select="Scenario 4",'I2 CBA Inputs'!J$222-'I2 CBA Inputs'!J228,0)),0)</f>
        <v>22546500.793952465</v>
      </c>
      <c r="L128" s="18">
        <f>IFERROR('I1 General Inputs'!$A20*(IF(Scenario_Select="Scenario 1",'I2 CBA Inputs'!K$195-'I2 CBA Inputs'!K201,0)+IF(Scenario_Select="Scenario 2",'I2 CBA Inputs'!K$204-'I2 CBA Inputs'!K210,0)+IF(Scenario_Select="Scenario 3",'I2 CBA Inputs'!K$213-'I2 CBA Inputs'!K219,0)+IF(Scenario_Select="Scenario 4",'I2 CBA Inputs'!K$222-'I2 CBA Inputs'!K228,0)),0)</f>
        <v>-307116.77441334724</v>
      </c>
      <c r="M128" s="18">
        <f>IFERROR('I1 General Inputs'!$A20*(IF(Scenario_Select="Scenario 1",'I2 CBA Inputs'!L$195-'I2 CBA Inputs'!L201,0)+IF(Scenario_Select="Scenario 2",'I2 CBA Inputs'!L$204-'I2 CBA Inputs'!L210,0)+IF(Scenario_Select="Scenario 3",'I2 CBA Inputs'!L$213-'I2 CBA Inputs'!L219,0)+IF(Scenario_Select="Scenario 4",'I2 CBA Inputs'!L$222-'I2 CBA Inputs'!L228,0)),0)</f>
        <v>4381743.7067734003</v>
      </c>
      <c r="N128" s="18">
        <f>IFERROR('I1 General Inputs'!$A20*(IF(Scenario_Select="Scenario 1",'I2 CBA Inputs'!M$195-'I2 CBA Inputs'!M201,0)+IF(Scenario_Select="Scenario 2",'I2 CBA Inputs'!M$204-'I2 CBA Inputs'!M210,0)+IF(Scenario_Select="Scenario 3",'I2 CBA Inputs'!M$213-'I2 CBA Inputs'!M219,0)+IF(Scenario_Select="Scenario 4",'I2 CBA Inputs'!M$222-'I2 CBA Inputs'!M228,0)),0)</f>
        <v>4602808.5819776058</v>
      </c>
      <c r="O128" s="18">
        <f>IFERROR('I1 General Inputs'!$A20*(IF(Scenario_Select="Scenario 1",'I2 CBA Inputs'!N$195-'I2 CBA Inputs'!N201,0)+IF(Scenario_Select="Scenario 2",'I2 CBA Inputs'!N$204-'I2 CBA Inputs'!N210,0)+IF(Scenario_Select="Scenario 3",'I2 CBA Inputs'!N$213-'I2 CBA Inputs'!N219,0)+IF(Scenario_Select="Scenario 4",'I2 CBA Inputs'!N$222-'I2 CBA Inputs'!N228,0)),0)</f>
        <v>50068931.774476051</v>
      </c>
      <c r="P128" s="18">
        <f>IFERROR('I1 General Inputs'!$A20*(IF(Scenario_Select="Scenario 1",'I2 CBA Inputs'!O$195-'I2 CBA Inputs'!O201,0)+IF(Scenario_Select="Scenario 2",'I2 CBA Inputs'!O$204-'I2 CBA Inputs'!O210,0)+IF(Scenario_Select="Scenario 3",'I2 CBA Inputs'!O$213-'I2 CBA Inputs'!O219,0)+IF(Scenario_Select="Scenario 4",'I2 CBA Inputs'!O$222-'I2 CBA Inputs'!O228,0)),0)</f>
        <v>432590149.23642445</v>
      </c>
      <c r="Q128" s="18">
        <f>IFERROR('I1 General Inputs'!$A20*(IF(Scenario_Select="Scenario 1",'I2 CBA Inputs'!P$195-'I2 CBA Inputs'!P201,0)+IF(Scenario_Select="Scenario 2",'I2 CBA Inputs'!P$204-'I2 CBA Inputs'!P210,0)+IF(Scenario_Select="Scenario 3",'I2 CBA Inputs'!P$213-'I2 CBA Inputs'!P219,0)+IF(Scenario_Select="Scenario 4",'I2 CBA Inputs'!P$222-'I2 CBA Inputs'!P228,0)),0)</f>
        <v>166962442.80355692</v>
      </c>
      <c r="R128" s="18">
        <f>IFERROR('I1 General Inputs'!$A20*(IF(Scenario_Select="Scenario 1",'I2 CBA Inputs'!Q$195-'I2 CBA Inputs'!Q201,0)+IF(Scenario_Select="Scenario 2",'I2 CBA Inputs'!Q$204-'I2 CBA Inputs'!Q210,0)+IF(Scenario_Select="Scenario 3",'I2 CBA Inputs'!Q$213-'I2 CBA Inputs'!Q219,0)+IF(Scenario_Select="Scenario 4",'I2 CBA Inputs'!Q$222-'I2 CBA Inputs'!Q228,0)),0)</f>
        <v>-41484235.508008599</v>
      </c>
      <c r="S128" s="18">
        <f>IFERROR('I1 General Inputs'!$A20*(IF(Scenario_Select="Scenario 1",'I2 CBA Inputs'!R$195-'I2 CBA Inputs'!R201,0)+IF(Scenario_Select="Scenario 2",'I2 CBA Inputs'!R$204-'I2 CBA Inputs'!R210,0)+IF(Scenario_Select="Scenario 3",'I2 CBA Inputs'!R$213-'I2 CBA Inputs'!R219,0)+IF(Scenario_Select="Scenario 4",'I2 CBA Inputs'!R$222-'I2 CBA Inputs'!R228,0)),0)</f>
        <v>-42232002.209352493</v>
      </c>
      <c r="T128" s="18">
        <f>IFERROR('I1 General Inputs'!$A20*(IF(Scenario_Select="Scenario 1",'I2 CBA Inputs'!S$195-'I2 CBA Inputs'!S201,0)+IF(Scenario_Select="Scenario 2",'I2 CBA Inputs'!S$204-'I2 CBA Inputs'!S210,0)+IF(Scenario_Select="Scenario 3",'I2 CBA Inputs'!S$213-'I2 CBA Inputs'!S219,0)+IF(Scenario_Select="Scenario 4",'I2 CBA Inputs'!S$222-'I2 CBA Inputs'!S228,0)),0)</f>
        <v>-144311319.79524708</v>
      </c>
      <c r="U128" s="18">
        <f>IFERROR('I1 General Inputs'!$A20*(IF(Scenario_Select="Scenario 1",'I2 CBA Inputs'!T$195-'I2 CBA Inputs'!T201,0)+IF(Scenario_Select="Scenario 2",'I2 CBA Inputs'!T$204-'I2 CBA Inputs'!T210,0)+IF(Scenario_Select="Scenario 3",'I2 CBA Inputs'!T$213-'I2 CBA Inputs'!T219,0)+IF(Scenario_Select="Scenario 4",'I2 CBA Inputs'!T$222-'I2 CBA Inputs'!T228,0)),0)</f>
        <v>51121502.091487408</v>
      </c>
      <c r="V128" s="18">
        <f>IFERROR('I1 General Inputs'!$A20*(IF(Scenario_Select="Scenario 1",'I2 CBA Inputs'!U$195-'I2 CBA Inputs'!U201,0)+IF(Scenario_Select="Scenario 2",'I2 CBA Inputs'!U$204-'I2 CBA Inputs'!U210,0)+IF(Scenario_Select="Scenario 3",'I2 CBA Inputs'!U$213-'I2 CBA Inputs'!U219,0)+IF(Scenario_Select="Scenario 4",'I2 CBA Inputs'!U$222-'I2 CBA Inputs'!U228,0)),0)</f>
        <v>165393292.24315357</v>
      </c>
      <c r="W128" s="18">
        <f>IFERROR('I1 General Inputs'!$A20*(IF(Scenario_Select="Scenario 1",'I2 CBA Inputs'!V$195-'I2 CBA Inputs'!V201,0)+IF(Scenario_Select="Scenario 2",'I2 CBA Inputs'!V$204-'I2 CBA Inputs'!V210,0)+IF(Scenario_Select="Scenario 3",'I2 CBA Inputs'!V$213-'I2 CBA Inputs'!V219,0)+IF(Scenario_Select="Scenario 4",'I2 CBA Inputs'!V$222-'I2 CBA Inputs'!V228,0)),0)</f>
        <v>56036105.759130478</v>
      </c>
      <c r="X128" s="18">
        <f>IFERROR('I1 General Inputs'!$A20*(IF(Scenario_Select="Scenario 1",'I2 CBA Inputs'!W$195-'I2 CBA Inputs'!W201,0)+IF(Scenario_Select="Scenario 2",'I2 CBA Inputs'!W$204-'I2 CBA Inputs'!W210,0)+IF(Scenario_Select="Scenario 3",'I2 CBA Inputs'!W$213-'I2 CBA Inputs'!W219,0)+IF(Scenario_Select="Scenario 4",'I2 CBA Inputs'!W$222-'I2 CBA Inputs'!W228,0)),0)</f>
        <v>-396305571.78352642</v>
      </c>
      <c r="Y128" s="18">
        <f>IFERROR('I1 General Inputs'!$A20*(IF(Scenario_Select="Scenario 1",'I2 CBA Inputs'!X$195-'I2 CBA Inputs'!X201,0)+IF(Scenario_Select="Scenario 2",'I2 CBA Inputs'!X$204-'I2 CBA Inputs'!X210,0)+IF(Scenario_Select="Scenario 3",'I2 CBA Inputs'!X$213-'I2 CBA Inputs'!X219,0)+IF(Scenario_Select="Scenario 4",'I2 CBA Inputs'!X$222-'I2 CBA Inputs'!X228,0)),0)</f>
        <v>-13306100.089957118</v>
      </c>
      <c r="Z128" s="18">
        <f>IFERROR('I1 General Inputs'!$A20*(IF(Scenario_Select="Scenario 1",'I2 CBA Inputs'!Y$195-'I2 CBA Inputs'!Y201,0)+IF(Scenario_Select="Scenario 2",'I2 CBA Inputs'!Y$204-'I2 CBA Inputs'!Y210,0)+IF(Scenario_Select="Scenario 3",'I2 CBA Inputs'!Y$213-'I2 CBA Inputs'!Y219,0)+IF(Scenario_Select="Scenario 4",'I2 CBA Inputs'!Y$222-'I2 CBA Inputs'!Y228,0)),0)</f>
        <v>59584439.552576065</v>
      </c>
      <c r="AA128" s="18">
        <f>IFERROR('I1 General Inputs'!$A20*(IF(Scenario_Select="Scenario 1",'I2 CBA Inputs'!Z$195-'I2 CBA Inputs'!Z201,0)+IF(Scenario_Select="Scenario 2",'I2 CBA Inputs'!Z$204-'I2 CBA Inputs'!Z210,0)+IF(Scenario_Select="Scenario 3",'I2 CBA Inputs'!Z$213-'I2 CBA Inputs'!Z219,0)+IF(Scenario_Select="Scenario 4",'I2 CBA Inputs'!Z$222-'I2 CBA Inputs'!Z228,0)),0)</f>
        <v>48061107.91749239</v>
      </c>
      <c r="AB128" s="18">
        <f>IFERROR('I1 General Inputs'!$A20*(IF(Scenario_Select="Scenario 1",'I2 CBA Inputs'!AA$195-'I2 CBA Inputs'!AA201,0)+IF(Scenario_Select="Scenario 2",'I2 CBA Inputs'!AA$204-'I2 CBA Inputs'!AA210,0)+IF(Scenario_Select="Scenario 3",'I2 CBA Inputs'!AA$213-'I2 CBA Inputs'!AA219,0)+IF(Scenario_Select="Scenario 4",'I2 CBA Inputs'!AA$222-'I2 CBA Inputs'!AA228,0)),0)</f>
        <v>-89660083.724483252</v>
      </c>
      <c r="AC128" s="18">
        <f>IFERROR('I1 General Inputs'!$A20*(IF(Scenario_Select="Scenario 1",'I2 CBA Inputs'!AB$195-'I2 CBA Inputs'!AB201,0)+IF(Scenario_Select="Scenario 2",'I2 CBA Inputs'!AB$204-'I2 CBA Inputs'!AB210,0)+IF(Scenario_Select="Scenario 3",'I2 CBA Inputs'!AB$213-'I2 CBA Inputs'!AB219,0)+IF(Scenario_Select="Scenario 4",'I2 CBA Inputs'!AB$222-'I2 CBA Inputs'!AB228,0)),0)</f>
        <v>76116987.436028838</v>
      </c>
      <c r="AD128" s="18">
        <f>IFERROR('I1 General Inputs'!$A20*(IF(Scenario_Select="Scenario 1",'I2 CBA Inputs'!AC$195-'I2 CBA Inputs'!AC201,0)+IF(Scenario_Select="Scenario 2",'I2 CBA Inputs'!AC$204-'I2 CBA Inputs'!AC210,0)+IF(Scenario_Select="Scenario 3",'I2 CBA Inputs'!AC$213-'I2 CBA Inputs'!AC219,0)+IF(Scenario_Select="Scenario 4",'I2 CBA Inputs'!AC$222-'I2 CBA Inputs'!AC228,0)),0)</f>
        <v>965733.66439664364</v>
      </c>
      <c r="AE128" s="18">
        <f>IFERROR('I1 General Inputs'!$A20*(IF(Scenario_Select="Scenario 1",'I2 CBA Inputs'!AD$195-'I2 CBA Inputs'!AD201,0)+IF(Scenario_Select="Scenario 2",'I2 CBA Inputs'!AD$204-'I2 CBA Inputs'!AD210,0)+IF(Scenario_Select="Scenario 3",'I2 CBA Inputs'!AD$213-'I2 CBA Inputs'!AD219,0)+IF(Scenario_Select="Scenario 4",'I2 CBA Inputs'!AD$222-'I2 CBA Inputs'!AD228,0)),0)</f>
        <v>-38589628.858163834</v>
      </c>
      <c r="AF128" s="18">
        <f>'I1 General Inputs'!$A20*(IF(Scenario_Select="Scenario 1",'I2 CBA Inputs'!AE$195-'I2 CBA Inputs'!AE201,0)+IF(Scenario_Select="Scenario 2",'I2 CBA Inputs'!AE$204-'I2 CBA Inputs'!AE210,0)+IF(Scenario_Select="Scenario 3",'I2 CBA Inputs'!AE$213-'I2 CBA Inputs'!AE219,0)+IF(Scenario_Select="Scenario 4",'I2 CBA Inputs'!AE$222-'I2 CBA Inputs'!AE228,0))</f>
        <v>4998413.7917340994</v>
      </c>
      <c r="AG128" s="18">
        <f>'I1 General Inputs'!$A20*(IF(Scenario_Select="Scenario 1",'I2 CBA Inputs'!AF$195-'I2 CBA Inputs'!AF201,0)+IF(Scenario_Select="Scenario 2",'I2 CBA Inputs'!AF$204-'I2 CBA Inputs'!AF210,0)+IF(Scenario_Select="Scenario 3",'I2 CBA Inputs'!AF$213-'I2 CBA Inputs'!AF219,0)+IF(Scenario_Select="Scenario 4",'I2 CBA Inputs'!AF$222-'I2 CBA Inputs'!AF228,0))</f>
        <v>0</v>
      </c>
      <c r="AH128" s="18">
        <f>'I1 General Inputs'!$A20*(IF(Scenario_Select="Scenario 1",'I2 CBA Inputs'!AG$195-'I2 CBA Inputs'!AG201,0)+IF(Scenario_Select="Scenario 2",'I2 CBA Inputs'!AG$204-'I2 CBA Inputs'!AG210,0)+IF(Scenario_Select="Scenario 3",'I2 CBA Inputs'!AG$213-'I2 CBA Inputs'!AG219,0)+IF(Scenario_Select="Scenario 4",'I2 CBA Inputs'!AG$222-'I2 CBA Inputs'!AG228,0))</f>
        <v>0</v>
      </c>
      <c r="AI128" s="18">
        <f>'I1 General Inputs'!$A20*(IF(Scenario_Select="Scenario 1",'I2 CBA Inputs'!AH$195-'I2 CBA Inputs'!AH201,0)+IF(Scenario_Select="Scenario 2",'I2 CBA Inputs'!AH$204-'I2 CBA Inputs'!AH210,0)+IF(Scenario_Select="Scenario 3",'I2 CBA Inputs'!AH$213-'I2 CBA Inputs'!AH219,0)+IF(Scenario_Select="Scenario 4",'I2 CBA Inputs'!AH$222-'I2 CBA Inputs'!AH228,0))</f>
        <v>0</v>
      </c>
      <c r="AJ128" s="18">
        <f>'I1 General Inputs'!$A20*(IF(Scenario_Select="Scenario 1",'I2 CBA Inputs'!AI$195-'I2 CBA Inputs'!AI201,0)+IF(Scenario_Select="Scenario 2",'I2 CBA Inputs'!AI$204-'I2 CBA Inputs'!AI210,0)+IF(Scenario_Select="Scenario 3",'I2 CBA Inputs'!AI$213-'I2 CBA Inputs'!AI219,0)+IF(Scenario_Select="Scenario 4",'I2 CBA Inputs'!AI$222-'I2 CBA Inputs'!AI228,0))</f>
        <v>0</v>
      </c>
    </row>
    <row r="131" spans="6:31" x14ac:dyDescent="0.2">
      <c r="G131" s="170"/>
    </row>
    <row r="133" spans="6:31" x14ac:dyDescent="0.2">
      <c r="F133" s="209"/>
    </row>
    <row r="134" spans="6:31" x14ac:dyDescent="0.2">
      <c r="F134" s="209"/>
    </row>
    <row r="135" spans="6:31" x14ac:dyDescent="0.2">
      <c r="F135" s="209"/>
    </row>
    <row r="138" spans="6:31" x14ac:dyDescent="0.2">
      <c r="AE138" s="170"/>
    </row>
    <row r="140" spans="6:31" x14ac:dyDescent="0.2">
      <c r="AE140" s="170"/>
    </row>
    <row r="141" spans="6:31" x14ac:dyDescent="0.2">
      <c r="AE141" s="17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/>
  </sheetPr>
  <dimension ref="A1:AH220"/>
  <sheetViews>
    <sheetView workbookViewId="0"/>
  </sheetViews>
  <sheetFormatPr defaultRowHeight="15" x14ac:dyDescent="0.2"/>
  <cols>
    <col min="2" max="2" width="11.5546875" customWidth="1"/>
    <col min="3" max="14" width="13.21875" customWidth="1"/>
    <col min="15" max="17" width="11.5546875" hidden="1" customWidth="1"/>
    <col min="18" max="19" width="11.5546875" customWidth="1"/>
    <col min="20" max="31" width="13.21875" customWidth="1"/>
    <col min="32" max="34" width="11.5546875" hidden="1" customWidth="1"/>
    <col min="35" max="51" width="11.5546875" customWidth="1"/>
  </cols>
  <sheetData>
    <row r="1" spans="1:34" ht="18" x14ac:dyDescent="0.25">
      <c r="A1" s="3" t="str">
        <f ca="1">MID(CELL("filename",A2),FIND("]",CELL("filename",A2))+1,256)</f>
        <v>Sensitivities</v>
      </c>
    </row>
    <row r="2" spans="1:34" x14ac:dyDescent="0.2">
      <c r="A2" s="4" t="s">
        <v>75</v>
      </c>
    </row>
    <row r="4" spans="1:34" ht="21" x14ac:dyDescent="0.35">
      <c r="B4" s="6" t="s">
        <v>56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6" spans="1:34" ht="15.75" x14ac:dyDescent="0.25">
      <c r="B6" s="5" t="s">
        <v>56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34" ht="15.75" x14ac:dyDescent="0.25">
      <c r="B7" s="7" t="s">
        <v>54</v>
      </c>
      <c r="C7" s="14" t="e">
        <f t="array" ref="C7:Q7">TRANSPOSE('R1 Interface and results'!#REF!)</f>
        <v>#REF!</v>
      </c>
      <c r="D7" s="14" t="e">
        <v>#REF!</v>
      </c>
      <c r="E7" s="14" t="e">
        <v>#REF!</v>
      </c>
      <c r="F7" s="14" t="e">
        <v>#REF!</v>
      </c>
      <c r="G7" s="14" t="e">
        <v>#REF!</v>
      </c>
      <c r="H7" s="14" t="e">
        <v>#REF!</v>
      </c>
      <c r="I7" s="14" t="e">
        <v>#REF!</v>
      </c>
      <c r="J7" s="14" t="e">
        <v>#REF!</v>
      </c>
      <c r="K7" s="14" t="e">
        <v>#REF!</v>
      </c>
      <c r="L7" s="14" t="e">
        <v>#REF!</v>
      </c>
      <c r="M7" s="14" t="e">
        <v>#REF!</v>
      </c>
      <c r="N7" s="14" t="e">
        <v>#REF!</v>
      </c>
      <c r="O7" s="14" t="e">
        <v>#REF!</v>
      </c>
      <c r="P7" s="14" t="e">
        <v>#REF!</v>
      </c>
      <c r="Q7" s="14" t="e">
        <v>#REF!</v>
      </c>
    </row>
    <row r="8" spans="1:34" x14ac:dyDescent="0.2">
      <c r="B8" s="2" t="s">
        <v>38</v>
      </c>
      <c r="C8" s="18">
        <f t="array" ref="C8:Q8">TRANSPOSE(Calculation!F8:F13)</f>
        <v>217876111.24950811</v>
      </c>
      <c r="D8" s="18">
        <v>149459233.8321102</v>
      </c>
      <c r="E8" s="18">
        <v>14771397.611105647</v>
      </c>
      <c r="F8" s="18">
        <v>54257097.620131977</v>
      </c>
      <c r="G8" s="18">
        <v>-88675982.718727261</v>
      </c>
      <c r="H8" s="18">
        <v>133128527.5081757</v>
      </c>
      <c r="I8" s="18" t="e">
        <v>#N/A</v>
      </c>
      <c r="J8" s="18" t="e">
        <v>#N/A</v>
      </c>
      <c r="K8" s="18" t="e">
        <v>#N/A</v>
      </c>
      <c r="L8" s="18" t="e">
        <v>#N/A</v>
      </c>
      <c r="M8" s="18" t="e">
        <v>#N/A</v>
      </c>
      <c r="N8" s="18" t="e">
        <v>#N/A</v>
      </c>
      <c r="O8" s="18" t="e">
        <v>#N/A</v>
      </c>
      <c r="P8" s="18" t="e">
        <v>#N/A</v>
      </c>
      <c r="Q8" s="18" t="e">
        <v>#N/A</v>
      </c>
    </row>
    <row r="9" spans="1:34" x14ac:dyDescent="0.2"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  <row r="10" spans="1:34" ht="21" x14ac:dyDescent="0.35">
      <c r="B10" s="6" t="s">
        <v>55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</row>
    <row r="11" spans="1:34" x14ac:dyDescent="0.2"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34" ht="15.75" x14ac:dyDescent="0.25">
      <c r="B12" s="30" t="s">
        <v>57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S12" s="30" t="s">
        <v>63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1:34" ht="15.75" x14ac:dyDescent="0.25">
      <c r="B13" s="11" t="s">
        <v>58</v>
      </c>
      <c r="C13" s="14" t="e">
        <f>+C7</f>
        <v>#REF!</v>
      </c>
      <c r="D13" s="14" t="e">
        <f t="shared" ref="D13:Q13" si="0">+D7</f>
        <v>#REF!</v>
      </c>
      <c r="E13" s="14" t="e">
        <f t="shared" si="0"/>
        <v>#REF!</v>
      </c>
      <c r="F13" s="14" t="e">
        <f t="shared" si="0"/>
        <v>#REF!</v>
      </c>
      <c r="G13" s="14" t="e">
        <f t="shared" si="0"/>
        <v>#REF!</v>
      </c>
      <c r="H13" s="14" t="e">
        <f t="shared" si="0"/>
        <v>#REF!</v>
      </c>
      <c r="I13" s="14" t="e">
        <f t="shared" si="0"/>
        <v>#REF!</v>
      </c>
      <c r="J13" s="14" t="e">
        <f t="shared" si="0"/>
        <v>#REF!</v>
      </c>
      <c r="K13" s="14" t="e">
        <f t="shared" si="0"/>
        <v>#REF!</v>
      </c>
      <c r="L13" s="14" t="e">
        <f t="shared" si="0"/>
        <v>#REF!</v>
      </c>
      <c r="M13" s="14" t="e">
        <f t="shared" si="0"/>
        <v>#REF!</v>
      </c>
      <c r="N13" s="14" t="e">
        <f t="shared" si="0"/>
        <v>#REF!</v>
      </c>
      <c r="O13" s="14" t="e">
        <f t="shared" si="0"/>
        <v>#REF!</v>
      </c>
      <c r="P13" s="14" t="e">
        <f t="shared" si="0"/>
        <v>#REF!</v>
      </c>
      <c r="Q13" s="14" t="e">
        <f t="shared" si="0"/>
        <v>#REF!</v>
      </c>
      <c r="S13" s="11" t="s">
        <v>61</v>
      </c>
      <c r="T13" s="14" t="e">
        <f>C$7</f>
        <v>#REF!</v>
      </c>
      <c r="U13" s="14" t="e">
        <f t="shared" ref="U13:AH13" si="1">+D$7</f>
        <v>#REF!</v>
      </c>
      <c r="V13" s="14" t="e">
        <f t="shared" si="1"/>
        <v>#REF!</v>
      </c>
      <c r="W13" s="14" t="e">
        <f t="shared" si="1"/>
        <v>#REF!</v>
      </c>
      <c r="X13" s="14" t="e">
        <f t="shared" si="1"/>
        <v>#REF!</v>
      </c>
      <c r="Y13" s="14" t="e">
        <f t="shared" si="1"/>
        <v>#REF!</v>
      </c>
      <c r="Z13" s="14" t="e">
        <f t="shared" si="1"/>
        <v>#REF!</v>
      </c>
      <c r="AA13" s="14" t="e">
        <f t="shared" si="1"/>
        <v>#REF!</v>
      </c>
      <c r="AB13" s="14" t="e">
        <f t="shared" si="1"/>
        <v>#REF!</v>
      </c>
      <c r="AC13" s="14" t="e">
        <f t="shared" si="1"/>
        <v>#REF!</v>
      </c>
      <c r="AD13" s="14" t="e">
        <f t="shared" si="1"/>
        <v>#REF!</v>
      </c>
      <c r="AE13" s="14" t="e">
        <f t="shared" si="1"/>
        <v>#REF!</v>
      </c>
      <c r="AF13" s="14" t="e">
        <f t="shared" si="1"/>
        <v>#REF!</v>
      </c>
      <c r="AG13" s="14" t="e">
        <f t="shared" si="1"/>
        <v>#REF!</v>
      </c>
      <c r="AH13" s="14" t="e">
        <f t="shared" si="1"/>
        <v>#REF!</v>
      </c>
    </row>
    <row r="14" spans="1:34" x14ac:dyDescent="0.2">
      <c r="B14" s="31">
        <v>3.5000000000000003E-2</v>
      </c>
      <c r="C14" s="18">
        <v>283908489.99958235</v>
      </c>
      <c r="D14" s="18">
        <v>201437933.47433472</v>
      </c>
      <c r="E14" s="18">
        <v>25664637.187395439</v>
      </c>
      <c r="F14" s="18">
        <v>52498821.228317052</v>
      </c>
      <c r="G14" s="18">
        <v>10386552.76229622</v>
      </c>
      <c r="H14" s="18">
        <v>160986774.18321508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S14" s="32">
        <v>0.75</v>
      </c>
      <c r="T14" s="18">
        <v>247585944.93961143</v>
      </c>
      <c r="U14" s="18">
        <v>152413349.46257296</v>
      </c>
      <c r="V14" s="18">
        <v>41527115.670746289</v>
      </c>
      <c r="W14" s="18">
        <v>60111471.817291893</v>
      </c>
      <c r="X14" s="18">
        <v>23453700.667262539</v>
      </c>
      <c r="Y14" s="18">
        <v>202727896.43821758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</row>
    <row r="15" spans="1:34" x14ac:dyDescent="0.2">
      <c r="B15" s="31">
        <f>ROUND(B14+('I1 General Inputs'!$H$26-'I1 General Inputs'!$G$26)/100,4)</f>
        <v>3.56E-2</v>
      </c>
      <c r="C15" s="18">
        <v>281888615.63769543</v>
      </c>
      <c r="D15" s="18">
        <v>199780610.67574975</v>
      </c>
      <c r="E15" s="18">
        <v>25384900.717221238</v>
      </c>
      <c r="F15" s="18">
        <v>52498974.121322982</v>
      </c>
      <c r="G15" s="18">
        <v>10197228.322423371</v>
      </c>
      <c r="H15" s="18">
        <v>159996835.40892318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S15" s="32">
        <f>ROUND(S14+('I2 CBA Inputs'!$H$9-'I2 CBA Inputs'!$G$9)/100,3)</f>
        <v>0.755</v>
      </c>
      <c r="T15" s="18">
        <v>246961226.41941538</v>
      </c>
      <c r="U15" s="18">
        <v>152288543.54801011</v>
      </c>
      <c r="V15" s="18">
        <v>41027203.065113001</v>
      </c>
      <c r="W15" s="18">
        <v>59944834.282080814</v>
      </c>
      <c r="X15" s="18">
        <v>23065856.16730047</v>
      </c>
      <c r="Y15" s="18">
        <v>201191618.74828157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</row>
    <row r="16" spans="1:34" x14ac:dyDescent="0.2">
      <c r="B16" s="31">
        <f>ROUND(B15+('I1 General Inputs'!$H$26-'I1 General Inputs'!$G$26)/100,4)</f>
        <v>3.6200000000000003E-2</v>
      </c>
      <c r="C16" s="18">
        <v>279888439.83560675</v>
      </c>
      <c r="D16" s="18">
        <v>198139546.89639208</v>
      </c>
      <c r="E16" s="18">
        <v>25108341.701214485</v>
      </c>
      <c r="F16" s="18">
        <v>52498070.426271088</v>
      </c>
      <c r="G16" s="18">
        <v>10009816.48470089</v>
      </c>
      <c r="H16" s="18">
        <v>159013631.42172569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S16" s="32">
        <f>ROUND(S15+('I2 CBA Inputs'!$H$9-'I2 CBA Inputs'!$G$9)/100,3)</f>
        <v>0.76</v>
      </c>
      <c r="T16" s="18">
        <v>246336507.89921919</v>
      </c>
      <c r="U16" s="18">
        <v>152163737.63344726</v>
      </c>
      <c r="V16" s="18">
        <v>40527290.459479719</v>
      </c>
      <c r="W16" s="18">
        <v>59778196.746869713</v>
      </c>
      <c r="X16" s="18">
        <v>22678011.667338397</v>
      </c>
      <c r="Y16" s="18">
        <v>199655341.05834565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</row>
    <row r="17" spans="2:34" x14ac:dyDescent="0.2">
      <c r="B17" s="31">
        <f>ROUND(B16+('I1 General Inputs'!$H$26-'I1 General Inputs'!$G$26)/100,4)</f>
        <v>3.6799999999999999E-2</v>
      </c>
      <c r="C17" s="18">
        <v>277907717.89715952</v>
      </c>
      <c r="D17" s="18">
        <v>196514554.12279016</v>
      </c>
      <c r="E17" s="18">
        <v>24834910.107499789</v>
      </c>
      <c r="F17" s="18">
        <v>52496120.488327615</v>
      </c>
      <c r="G17" s="18">
        <v>9824288.232631743</v>
      </c>
      <c r="H17" s="18">
        <v>158037075.34576705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S17" s="32">
        <f>ROUND(S16+('I2 CBA Inputs'!$H$9-'I2 CBA Inputs'!$G$9)/100,3)</f>
        <v>0.76500000000000001</v>
      </c>
      <c r="T17" s="18">
        <v>245711789.37902299</v>
      </c>
      <c r="U17" s="18">
        <v>152038931.71888438</v>
      </c>
      <c r="V17" s="18">
        <v>40027377.853846431</v>
      </c>
      <c r="W17" s="18">
        <v>59611559.211658627</v>
      </c>
      <c r="X17" s="18">
        <v>22290167.167376336</v>
      </c>
      <c r="Y17" s="18">
        <v>198119063.36840975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</row>
    <row r="18" spans="2:34" x14ac:dyDescent="0.2">
      <c r="B18" s="31">
        <f>ROUND(B17+('I1 General Inputs'!$H$26-'I1 General Inputs'!$G$26)/100,4)</f>
        <v>3.7400000000000003E-2</v>
      </c>
      <c r="C18" s="18">
        <v>275946208.65513736</v>
      </c>
      <c r="D18" s="18">
        <v>194905446.80220246</v>
      </c>
      <c r="E18" s="18">
        <v>24564556.801981572</v>
      </c>
      <c r="F18" s="18">
        <v>52493134.624507718</v>
      </c>
      <c r="G18" s="18">
        <v>9640615.0831664242</v>
      </c>
      <c r="H18" s="18">
        <v>157067081.93725502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S18" s="32">
        <f>ROUND(S17+('I2 CBA Inputs'!$H$9-'I2 CBA Inputs'!$G$9)/100,3)</f>
        <v>0.77</v>
      </c>
      <c r="T18" s="18">
        <v>245087070.85882682</v>
      </c>
      <c r="U18" s="18">
        <v>151914125.8043215</v>
      </c>
      <c r="V18" s="18">
        <v>39527465.24821315</v>
      </c>
      <c r="W18" s="18">
        <v>59444921.676447526</v>
      </c>
      <c r="X18" s="18">
        <v>21902322.667414267</v>
      </c>
      <c r="Y18" s="18">
        <v>196582785.67847374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</row>
    <row r="19" spans="2:34" x14ac:dyDescent="0.2">
      <c r="B19" s="31">
        <f>ROUND(B18+('I1 General Inputs'!$H$26-'I1 General Inputs'!$G$26)/100,4)</f>
        <v>3.7999999999999999E-2</v>
      </c>
      <c r="C19" s="18">
        <v>274003674.41570407</v>
      </c>
      <c r="D19" s="18">
        <v>193312041.80727571</v>
      </c>
      <c r="E19" s="18">
        <v>24297233.531734206</v>
      </c>
      <c r="F19" s="18">
        <v>52489123.122112811</v>
      </c>
      <c r="G19" s="18">
        <v>9458769.0765579008</v>
      </c>
      <c r="H19" s="18">
        <v>156103567.55191985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S19" s="32">
        <f>ROUND(S18+('I2 CBA Inputs'!$H$9-'I2 CBA Inputs'!$G$9)/100,3)</f>
        <v>0.77500000000000002</v>
      </c>
      <c r="T19" s="18">
        <v>244462352.33863077</v>
      </c>
      <c r="U19" s="18">
        <v>151789319.88975862</v>
      </c>
      <c r="V19" s="18">
        <v>39027552.642579861</v>
      </c>
      <c r="W19" s="18">
        <v>59278284.141236417</v>
      </c>
      <c r="X19" s="18">
        <v>21514478.167452194</v>
      </c>
      <c r="Y19" s="18">
        <v>195046507.98853785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</row>
    <row r="20" spans="2:34" x14ac:dyDescent="0.2">
      <c r="B20" s="31">
        <f>ROUND(B19+('I1 General Inputs'!$H$26-'I1 General Inputs'!$G$26)/100,4)</f>
        <v>3.8600000000000002E-2</v>
      </c>
      <c r="C20" s="18">
        <v>272079880.90376449</v>
      </c>
      <c r="D20" s="18">
        <v>191734158.40124625</v>
      </c>
      <c r="E20" s="18">
        <v>24032892.908701014</v>
      </c>
      <c r="F20" s="18">
        <v>52484096.237223089</v>
      </c>
      <c r="G20" s="18">
        <v>9278722.7664088458</v>
      </c>
      <c r="H20" s="18">
        <v>155146450.1131095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S20" s="32">
        <f>ROUND(S19+('I2 CBA Inputs'!$H$9-'I2 CBA Inputs'!$G$9)/100,3)</f>
        <v>0.78</v>
      </c>
      <c r="T20" s="18">
        <v>243837633.81843454</v>
      </c>
      <c r="U20" s="18">
        <v>151664513.97519577</v>
      </c>
      <c r="V20" s="18">
        <v>38527640.03694658</v>
      </c>
      <c r="W20" s="18">
        <v>59111646.606025338</v>
      </c>
      <c r="X20" s="18">
        <v>21126633.667490132</v>
      </c>
      <c r="Y20" s="18">
        <v>193510230.29860196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</row>
    <row r="21" spans="2:34" x14ac:dyDescent="0.2">
      <c r="B21" s="31">
        <f>ROUND(B20+('I1 General Inputs'!$H$26-'I1 General Inputs'!$G$26)/100,4)</f>
        <v>3.9199999999999999E-2</v>
      </c>
      <c r="C21" s="18">
        <v>270174597.20924133</v>
      </c>
      <c r="D21" s="18">
        <v>190171618.20368233</v>
      </c>
      <c r="E21" s="18">
        <v>23771488.393698867</v>
      </c>
      <c r="F21" s="18">
        <v>52478064.193242997</v>
      </c>
      <c r="G21" s="18">
        <v>9100449.2099091653</v>
      </c>
      <c r="H21" s="18">
        <v>154195649.08051908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S21" s="32">
        <f>ROUND(S20+('I2 CBA Inputs'!$H$9-'I2 CBA Inputs'!$G$9)/100,3)</f>
        <v>0.78500000000000003</v>
      </c>
      <c r="T21" s="18">
        <v>243212915.29823837</v>
      </c>
      <c r="U21" s="18">
        <v>151539708.06063291</v>
      </c>
      <c r="V21" s="18">
        <v>38027727.431313306</v>
      </c>
      <c r="W21" s="18">
        <v>58945009.07081423</v>
      </c>
      <c r="X21" s="18">
        <v>20738789.167528063</v>
      </c>
      <c r="Y21" s="18">
        <v>191973952.60866594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</row>
    <row r="22" spans="2:34" x14ac:dyDescent="0.2">
      <c r="B22" s="31">
        <f>ROUND(B21+('I1 General Inputs'!$H$26-'I1 General Inputs'!$G$26)/100,4)</f>
        <v>3.9800000000000002E-2</v>
      </c>
      <c r="C22" s="18">
        <v>268287595.73424169</v>
      </c>
      <c r="D22" s="18">
        <v>188624245.1567519</v>
      </c>
      <c r="E22" s="18">
        <v>23512974.280720368</v>
      </c>
      <c r="F22" s="18">
        <v>52471037.179499768</v>
      </c>
      <c r="G22" s="18">
        <v>8923921.958258884</v>
      </c>
      <c r="H22" s="18">
        <v>153251085.41953486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S22" s="32">
        <f>ROUND(S21+('I2 CBA Inputs'!$H$9-'I2 CBA Inputs'!$G$9)/100,3)</f>
        <v>0.79</v>
      </c>
      <c r="T22" s="18">
        <v>242588196.77804232</v>
      </c>
      <c r="U22" s="18">
        <v>151414902.14607006</v>
      </c>
      <c r="V22" s="18">
        <v>37527814.82568001</v>
      </c>
      <c r="W22" s="18">
        <v>58778371.535603151</v>
      </c>
      <c r="X22" s="18">
        <v>20350944.667565987</v>
      </c>
      <c r="Y22" s="18">
        <v>190437674.91873005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</row>
    <row r="23" spans="2:34" x14ac:dyDescent="0.2">
      <c r="B23" s="31">
        <f>ROUND(B22+('I1 General Inputs'!$H$26-'I1 General Inputs'!$G$26)/100,4)</f>
        <v>4.0399999999999998E-2</v>
      </c>
      <c r="C23" s="18">
        <v>266418652.14110693</v>
      </c>
      <c r="D23" s="18">
        <v>187091865.49201363</v>
      </c>
      <c r="E23" s="18">
        <v>23257305.68152966</v>
      </c>
      <c r="F23" s="18">
        <v>52463025.349891745</v>
      </c>
      <c r="G23" s="18">
        <v>8749115.047273919</v>
      </c>
      <c r="H23" s="18">
        <v>152312681.5711863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S23" s="32">
        <f>ROUND(S22+('I2 CBA Inputs'!$H$9-'I2 CBA Inputs'!$G$9)/100,3)</f>
        <v>0.79500000000000004</v>
      </c>
      <c r="T23" s="18">
        <v>241963478.25784612</v>
      </c>
      <c r="U23" s="18">
        <v>151290096.23150715</v>
      </c>
      <c r="V23" s="18">
        <v>37027902.220046729</v>
      </c>
      <c r="W23" s="18">
        <v>58611734.000392042</v>
      </c>
      <c r="X23" s="18">
        <v>19963100.167603929</v>
      </c>
      <c r="Y23" s="18">
        <v>188901397.22879401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</row>
    <row r="24" spans="2:34" x14ac:dyDescent="0.2">
      <c r="B24" s="31">
        <f>ROUND(B23+('I1 General Inputs'!$H$26-'I1 General Inputs'!$G$26)/100,4)</f>
        <v>4.1000000000000002E-2</v>
      </c>
      <c r="C24" s="18">
        <v>264567545.30131841</v>
      </c>
      <c r="D24" s="18">
        <v>185574307.69771242</v>
      </c>
      <c r="E24" s="18">
        <v>23004438.510544948</v>
      </c>
      <c r="F24" s="18">
        <v>52454038.821587466</v>
      </c>
      <c r="G24" s="18">
        <v>8576002.9881699663</v>
      </c>
      <c r="H24" s="18">
        <v>151380361.42268711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S24" s="32">
        <f>ROUND(S23+('I2 CBA Inputs'!$H$9-'I2 CBA Inputs'!$G$9)/100,3)</f>
        <v>0.8</v>
      </c>
      <c r="T24" s="18">
        <v>241338759.73764995</v>
      </c>
      <c r="U24" s="18">
        <v>151165290.3169443</v>
      </c>
      <c r="V24" s="18">
        <v>36527989.614413433</v>
      </c>
      <c r="W24" s="18">
        <v>58445096.465180941</v>
      </c>
      <c r="X24" s="18">
        <v>19575255.667641852</v>
      </c>
      <c r="Y24" s="18">
        <v>187365119.53885815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</row>
    <row r="25" spans="2:34" x14ac:dyDescent="0.2">
      <c r="B25" s="31">
        <f>ROUND(B24+('I1 General Inputs'!$H$26-'I1 General Inputs'!$G$26)/100,4)</f>
        <v>4.1599999999999998E-2</v>
      </c>
      <c r="C25" s="18">
        <v>262734057.24525833</v>
      </c>
      <c r="D25" s="18">
        <v>184071402.48658323</v>
      </c>
      <c r="E25" s="18">
        <v>22754329.47000302</v>
      </c>
      <c r="F25" s="18">
        <v>52444087.673772261</v>
      </c>
      <c r="G25" s="18">
        <v>8404560.758522274</v>
      </c>
      <c r="H25" s="18">
        <v>150454050.27856061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S25" s="32">
        <f>ROUND(S24+('I2 CBA Inputs'!$H$9-'I2 CBA Inputs'!$G$9)/100,3)</f>
        <v>0.80500000000000005</v>
      </c>
      <c r="T25" s="18">
        <v>240714041.21745375</v>
      </c>
      <c r="U25" s="18">
        <v>151040484.40238142</v>
      </c>
      <c r="V25" s="18">
        <v>36028077.008780144</v>
      </c>
      <c r="W25" s="18">
        <v>58278458.929969855</v>
      </c>
      <c r="X25" s="18">
        <v>19187411.16767979</v>
      </c>
      <c r="Y25" s="18">
        <v>185828841.84892225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</row>
    <row r="26" spans="2:34" x14ac:dyDescent="0.2">
      <c r="B26" s="31">
        <f>ROUND(B25+('I1 General Inputs'!$H$26-'I1 General Inputs'!$G$26)/100,4)</f>
        <v>4.2200000000000001E-2</v>
      </c>
      <c r="C26" s="18">
        <v>260917973.11280319</v>
      </c>
      <c r="D26" s="18">
        <v>182582982.76414949</v>
      </c>
      <c r="E26" s="18">
        <v>22506936.035401385</v>
      </c>
      <c r="F26" s="18">
        <v>52433181.946442589</v>
      </c>
      <c r="G26" s="18">
        <v>8234763.7933977013</v>
      </c>
      <c r="H26" s="18">
        <v>149533674.83233666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S26" s="32">
        <f>ROUND(S25+('I2 CBA Inputs'!$H$9-'I2 CBA Inputs'!$G$9)/100,3)</f>
        <v>0.81</v>
      </c>
      <c r="T26" s="18">
        <v>240089322.69725758</v>
      </c>
      <c r="U26" s="18">
        <v>150915678.48781854</v>
      </c>
      <c r="V26" s="18">
        <v>35528164.403146863</v>
      </c>
      <c r="W26" s="18">
        <v>58111821.394758753</v>
      </c>
      <c r="X26" s="18">
        <v>18799566.66771771</v>
      </c>
      <c r="Y26" s="18">
        <v>184292564.15898621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</row>
    <row r="27" spans="2:34" x14ac:dyDescent="0.2">
      <c r="B27" s="31">
        <f>ROUND(B26+('I1 General Inputs'!$H$26-'I1 General Inputs'!$G$26)/100,4)</f>
        <v>4.2799999999999998E-2</v>
      </c>
      <c r="C27" s="18">
        <v>259119081.10473126</v>
      </c>
      <c r="D27" s="18">
        <v>181108883.59750235</v>
      </c>
      <c r="E27" s="18">
        <v>22262216.441210315</v>
      </c>
      <c r="F27" s="18">
        <v>52421331.63924586</v>
      </c>
      <c r="G27" s="18">
        <v>8066587.9766548006</v>
      </c>
      <c r="H27" s="18">
        <v>148619163.13880351</v>
      </c>
      <c r="I27" s="18">
        <v>0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S27" s="32">
        <f>ROUND(S26+('I2 CBA Inputs'!$H$9-'I2 CBA Inputs'!$G$9)/100,3)</f>
        <v>0.81499999999999995</v>
      </c>
      <c r="T27" s="18">
        <v>239464604.1770615</v>
      </c>
      <c r="U27" s="18">
        <v>150790872.57325572</v>
      </c>
      <c r="V27" s="18">
        <v>35028251.797513574</v>
      </c>
      <c r="W27" s="18">
        <v>57945183.859547675</v>
      </c>
      <c r="X27" s="18">
        <v>18411722.167755645</v>
      </c>
      <c r="Y27" s="18">
        <v>182756286.46905032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</row>
    <row r="28" spans="2:34" x14ac:dyDescent="0.2">
      <c r="B28" s="31">
        <f>ROUND(B27+('I1 General Inputs'!$H$26-'I1 General Inputs'!$G$26)/100,4)</f>
        <v>4.3400000000000001E-2</v>
      </c>
      <c r="C28" s="18">
        <v>257337172.43494081</v>
      </c>
      <c r="D28" s="18">
        <v>179648942.18456411</v>
      </c>
      <c r="E28" s="18">
        <v>22020129.666852318</v>
      </c>
      <c r="F28" s="18">
        <v>52408546.710365474</v>
      </c>
      <c r="G28" s="18">
        <v>7900009.6324103782</v>
      </c>
      <c r="H28" s="18">
        <v>147710444.5868116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S28" s="32">
        <f>ROUND(S27+('I2 CBA Inputs'!$H$9-'I2 CBA Inputs'!$G$9)/100,3)</f>
        <v>0.82</v>
      </c>
      <c r="T28" s="18">
        <v>238839885.65686533</v>
      </c>
      <c r="U28" s="18">
        <v>150666066.65869284</v>
      </c>
      <c r="V28" s="18">
        <v>34528339.191880293</v>
      </c>
      <c r="W28" s="18">
        <v>57778546.324336566</v>
      </c>
      <c r="X28" s="18">
        <v>18023877.667793583</v>
      </c>
      <c r="Y28" s="18">
        <v>181220008.77911434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</row>
    <row r="29" spans="2:34" x14ac:dyDescent="0.2">
      <c r="B29" s="31">
        <f>ROUND(B28+('I1 General Inputs'!$H$26-'I1 General Inputs'!$G$26)/100,4)</f>
        <v>4.3999999999999997E-2</v>
      </c>
      <c r="C29" s="18">
        <v>255572041.28345904</v>
      </c>
      <c r="D29" s="18">
        <v>178202997.8238214</v>
      </c>
      <c r="E29" s="18">
        <v>21780635.422943059</v>
      </c>
      <c r="F29" s="18">
        <v>52394837.075449392</v>
      </c>
      <c r="G29" s="18">
        <v>7735005.5166679565</v>
      </c>
      <c r="H29" s="18">
        <v>146807449.87261441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S29" s="32">
        <f>ROUND(S28+('I2 CBA Inputs'!$H$9-'I2 CBA Inputs'!$G$9)/100,3)</f>
        <v>0.82499999999999996</v>
      </c>
      <c r="T29" s="18">
        <v>238215167.13666913</v>
      </c>
      <c r="U29" s="18">
        <v>150541260.74412999</v>
      </c>
      <c r="V29" s="18">
        <v>34028426.586247005</v>
      </c>
      <c r="W29" s="18">
        <v>57611908.789125457</v>
      </c>
      <c r="X29" s="18">
        <v>17636033.16783151</v>
      </c>
      <c r="Y29" s="18">
        <v>179683731.08917841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</row>
    <row r="30" spans="2:34" x14ac:dyDescent="0.2">
      <c r="B30" s="31">
        <f>ROUND(B29+('I1 General Inputs'!$H$26-'I1 General Inputs'!$G$26)/100,4)</f>
        <v>4.4600000000000001E-2</v>
      </c>
      <c r="C30" s="18">
        <v>253823484.75022313</v>
      </c>
      <c r="D30" s="18">
        <v>176770891.8845177</v>
      </c>
      <c r="E30" s="18">
        <v>21543694.137787674</v>
      </c>
      <c r="F30" s="18">
        <v>52380212.606581099</v>
      </c>
      <c r="G30" s="18">
        <v>7571552.8091055052</v>
      </c>
      <c r="H30" s="18">
        <v>145910110.97373345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S30" s="32">
        <f>ROUND(S29+('I2 CBA Inputs'!$H$9-'I2 CBA Inputs'!$G$9)/100,3)</f>
        <v>0.83</v>
      </c>
      <c r="T30" s="18">
        <v>237590448.61647305</v>
      </c>
      <c r="U30" s="18">
        <v>150416454.8295671</v>
      </c>
      <c r="V30" s="18">
        <v>33528513.980613723</v>
      </c>
      <c r="W30" s="18">
        <v>57445271.253914386</v>
      </c>
      <c r="X30" s="18">
        <v>17248188.667869445</v>
      </c>
      <c r="Y30" s="18">
        <v>178147453.39924252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</row>
    <row r="31" spans="2:34" x14ac:dyDescent="0.2">
      <c r="B31" s="31">
        <f>ROUND(B30+('I1 General Inputs'!$H$26-'I1 General Inputs'!$G$26)/100,4)</f>
        <v>4.5199999999999997E-2</v>
      </c>
      <c r="C31" s="18">
        <v>252091302.80963039</v>
      </c>
      <c r="D31" s="18">
        <v>175352467.77730531</v>
      </c>
      <c r="E31" s="18">
        <v>21309266.944129508</v>
      </c>
      <c r="F31" s="18">
        <v>52364683.131292373</v>
      </c>
      <c r="G31" s="18">
        <v>7409629.1050197184</v>
      </c>
      <c r="H31" s="18">
        <v>145018361.12334335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S31" s="32">
        <f>ROUND(S30+('I2 CBA Inputs'!$H$9-'I2 CBA Inputs'!$G$9)/100,3)</f>
        <v>0.83499999999999996</v>
      </c>
      <c r="T31" s="18">
        <v>236965730.09627688</v>
      </c>
      <c r="U31" s="18">
        <v>150291648.91500425</v>
      </c>
      <c r="V31" s="18">
        <v>33028601.374980435</v>
      </c>
      <c r="W31" s="18">
        <v>57278633.71870327</v>
      </c>
      <c r="X31" s="18">
        <v>16860344.16790738</v>
      </c>
      <c r="Y31" s="18">
        <v>176611175.70930651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</row>
    <row r="32" spans="2:34" x14ac:dyDescent="0.2">
      <c r="B32" s="31">
        <f>ROUND(B31+('I1 General Inputs'!$H$26-'I1 General Inputs'!$G$26)/100,4)</f>
        <v>4.58E-2</v>
      </c>
      <c r="C32" s="18">
        <v>250375298.26583755</v>
      </c>
      <c r="D32" s="18">
        <v>173947570.92534348</v>
      </c>
      <c r="E32" s="18">
        <v>21077315.66614566</v>
      </c>
      <c r="F32" s="18">
        <v>52348258.431616277</v>
      </c>
      <c r="G32" s="18">
        <v>7249212.4074234935</v>
      </c>
      <c r="H32" s="18">
        <v>144132134.78516111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S32" s="32">
        <f>ROUND(S31+('I2 CBA Inputs'!$H$9-'I2 CBA Inputs'!$G$9)/100,3)</f>
        <v>0.84</v>
      </c>
      <c r="T32" s="18">
        <v>236341011.57608074</v>
      </c>
      <c r="U32" s="18">
        <v>150166843.00044137</v>
      </c>
      <c r="V32" s="18">
        <v>32528688.76934715</v>
      </c>
      <c r="W32" s="18">
        <v>57111996.183492199</v>
      </c>
      <c r="X32" s="18">
        <v>16472499.667945303</v>
      </c>
      <c r="Y32" s="18">
        <v>175074898.01937062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</row>
    <row r="33" spans="2:34" x14ac:dyDescent="0.2">
      <c r="B33" s="31">
        <f>ROUND(B32+('I1 General Inputs'!$H$26-'I1 General Inputs'!$G$26)/100,4)</f>
        <v>4.6399999999999997E-2</v>
      </c>
      <c r="C33" s="18">
        <v>248675276.70879945</v>
      </c>
      <c r="D33" s="18">
        <v>172556048.73584032</v>
      </c>
      <c r="E33" s="18">
        <v>20847802.80668468</v>
      </c>
      <c r="F33" s="18">
        <v>52330948.243179351</v>
      </c>
      <c r="G33" s="18">
        <v>7090281.119293943</v>
      </c>
      <c r="H33" s="18">
        <v>143251367.62883464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S33" s="32">
        <f>ROUND(S32+('I2 CBA Inputs'!$H$9-'I2 CBA Inputs'!$G$9)/100,3)</f>
        <v>0.84499999999999997</v>
      </c>
      <c r="T33" s="18">
        <v>235716293.05588457</v>
      </c>
      <c r="U33" s="18">
        <v>150042037.08587852</v>
      </c>
      <c r="V33" s="18">
        <v>32028776.163713861</v>
      </c>
      <c r="W33" s="18">
        <v>56945358.64828109</v>
      </c>
      <c r="X33" s="18">
        <v>16084655.167983243</v>
      </c>
      <c r="Y33" s="18">
        <v>173538620.32943469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</row>
    <row r="34" spans="2:34" x14ac:dyDescent="0.2">
      <c r="B34" s="31">
        <f>ROUND(B33+('I1 General Inputs'!$H$26-'I1 General Inputs'!$G$26)/100,4)</f>
        <v>4.7E-2</v>
      </c>
      <c r="C34" s="18">
        <v>246991046.47102752</v>
      </c>
      <c r="D34" s="18">
        <v>171177750.57202199</v>
      </c>
      <c r="E34" s="18">
        <v>20620691.534741353</v>
      </c>
      <c r="F34" s="18">
        <v>52312762.254332721</v>
      </c>
      <c r="G34" s="18">
        <v>6932814.0359673966</v>
      </c>
      <c r="H34" s="18">
        <v>142375996.50581393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S34" s="32">
        <f>ROUND(S33+('I2 CBA Inputs'!$H$9-'I2 CBA Inputs'!$G$9)/100,3)</f>
        <v>0.85</v>
      </c>
      <c r="T34" s="18">
        <v>235091574.53568843</v>
      </c>
      <c r="U34" s="18">
        <v>149917231.17131567</v>
      </c>
      <c r="V34" s="18">
        <v>31528863.55808058</v>
      </c>
      <c r="W34" s="18">
        <v>56778721.113069981</v>
      </c>
      <c r="X34" s="18">
        <v>15696810.668021174</v>
      </c>
      <c r="Y34" s="18">
        <v>172002342.63949871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</row>
    <row r="35" spans="2:34" x14ac:dyDescent="0.2">
      <c r="B35" s="31">
        <f>ROUND(B34+('I1 General Inputs'!$H$26-'I1 General Inputs'!$G$26)/100,4)</f>
        <v>4.7600000000000003E-2</v>
      </c>
      <c r="C35" s="18">
        <v>245322418.58506665</v>
      </c>
      <c r="D35" s="18">
        <v>169812527.72553504</v>
      </c>
      <c r="E35" s="18">
        <v>20395945.673165683</v>
      </c>
      <c r="F35" s="18">
        <v>52293710.105319887</v>
      </c>
      <c r="G35" s="18">
        <v>6776790.3376797494</v>
      </c>
      <c r="H35" s="18">
        <v>141505959.42570466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S35" s="32">
        <f>ROUND(S34+('I2 CBA Inputs'!$H$9-'I2 CBA Inputs'!$G$9)/100,3)</f>
        <v>0.85499999999999998</v>
      </c>
      <c r="T35" s="18">
        <v>234466856.01549226</v>
      </c>
      <c r="U35" s="18">
        <v>149792425.25675276</v>
      </c>
      <c r="V35" s="18">
        <v>31028950.952447291</v>
      </c>
      <c r="W35" s="18">
        <v>56612083.577858903</v>
      </c>
      <c r="X35" s="18">
        <v>15308966.168059103</v>
      </c>
      <c r="Y35" s="18">
        <v>170466064.94956282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</row>
    <row r="36" spans="2:34" x14ac:dyDescent="0.2">
      <c r="B36" s="31">
        <f>ROUND(B35+('I1 General Inputs'!$H$26-'I1 General Inputs'!$G$26)/100,4)</f>
        <v>4.82E-2</v>
      </c>
      <c r="C36" s="18">
        <v>243669206.74167165</v>
      </c>
      <c r="D36" s="18">
        <v>168460233.38926712</v>
      </c>
      <c r="E36" s="18">
        <v>20173529.686600156</v>
      </c>
      <c r="F36" s="18">
        <v>52273801.387481503</v>
      </c>
      <c r="G36" s="18">
        <v>6622189.5822485387</v>
      </c>
      <c r="H36" s="18">
        <v>140641195.53308666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S36" s="32">
        <f>ROUND(S35+('I2 CBA Inputs'!$H$9-'I2 CBA Inputs'!$G$9)/100,3)</f>
        <v>0.86</v>
      </c>
      <c r="T36" s="18">
        <v>233842137.49529612</v>
      </c>
      <c r="U36" s="18">
        <v>149667619.34218991</v>
      </c>
      <c r="V36" s="18">
        <v>30529038.346813995</v>
      </c>
      <c r="W36" s="18">
        <v>56445446.042647801</v>
      </c>
      <c r="X36" s="18">
        <v>14921121.668097042</v>
      </c>
      <c r="Y36" s="18">
        <v>168929787.25962678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</row>
    <row r="37" spans="2:34" x14ac:dyDescent="0.2">
      <c r="B37" s="31">
        <f>ROUND(B36+('I1 General Inputs'!$H$26-'I1 General Inputs'!$G$26)/100,4)</f>
        <v>4.8800000000000003E-2</v>
      </c>
      <c r="C37" s="18">
        <v>242031227.24866703</v>
      </c>
      <c r="D37" s="18">
        <v>167120722.63057685</v>
      </c>
      <c r="E37" s="18">
        <v>19953408.669641599</v>
      </c>
      <c r="F37" s="18">
        <v>52253045.642495319</v>
      </c>
      <c r="G37" s="18">
        <v>6468991.6978939828</v>
      </c>
      <c r="H37" s="18">
        <v>139781645.0847916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S37" s="32">
        <f>ROUND(S36+('I2 CBA Inputs'!$H$9-'I2 CBA Inputs'!$G$9)/100,3)</f>
        <v>0.86499999999999999</v>
      </c>
      <c r="T37" s="18">
        <v>233217418.97510001</v>
      </c>
      <c r="U37" s="18">
        <v>149542813.42762703</v>
      </c>
      <c r="V37" s="18">
        <v>30029125.741180722</v>
      </c>
      <c r="W37" s="18">
        <v>56278808.507436715</v>
      </c>
      <c r="X37" s="18">
        <v>14533277.168134972</v>
      </c>
      <c r="Y37" s="18">
        <v>167393509.56969088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</row>
    <row r="38" spans="2:34" x14ac:dyDescent="0.2">
      <c r="B38" s="31">
        <f>ROUND(B37+('I1 General Inputs'!$H$26-'I1 General Inputs'!$G$26)/100,4)</f>
        <v>4.9399999999999999E-2</v>
      </c>
      <c r="C38" s="18">
        <v>240408298.99048948</v>
      </c>
      <c r="D38" s="18">
        <v>165793852.36493436</v>
      </c>
      <c r="E38" s="18">
        <v>19735548.335223231</v>
      </c>
      <c r="F38" s="18">
        <v>52231452.361650594</v>
      </c>
      <c r="G38" s="18">
        <v>6317176.9761970397</v>
      </c>
      <c r="H38" s="18">
        <v>138927249.4276326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S38" s="32">
        <f>ROUND(S37+('I2 CBA Inputs'!$H$9-'I2 CBA Inputs'!$G$9)/100,3)</f>
        <v>0.87</v>
      </c>
      <c r="T38" s="18">
        <v>232592700.45490384</v>
      </c>
      <c r="U38" s="18">
        <v>149418007.51306418</v>
      </c>
      <c r="V38" s="18">
        <v>29529213.135547429</v>
      </c>
      <c r="W38" s="18">
        <v>56112170.972225614</v>
      </c>
      <c r="X38" s="18">
        <v>14145432.668172901</v>
      </c>
      <c r="Y38" s="18">
        <v>165857231.87975502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</row>
    <row r="39" spans="2:34" x14ac:dyDescent="0.2">
      <c r="B39" s="31">
        <f>ROUND(B38+('I1 General Inputs'!$H$26-'I1 General Inputs'!$G$26)/100,4)</f>
        <v>0.05</v>
      </c>
      <c r="C39" s="18">
        <v>238800243.38838995</v>
      </c>
      <c r="D39" s="18">
        <v>164479481.32995975</v>
      </c>
      <c r="E39" s="18">
        <v>19519915.003213286</v>
      </c>
      <c r="F39" s="18">
        <v>52209030.985156506</v>
      </c>
      <c r="G39" s="18">
        <v>6166726.0651911171</v>
      </c>
      <c r="H39" s="18">
        <v>138077950.97657198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S39" s="32">
        <f>ROUND(S38+('I2 CBA Inputs'!$H$9-'I2 CBA Inputs'!$G$9)/100,3)</f>
        <v>0.875</v>
      </c>
      <c r="T39" s="18">
        <v>231967981.93470767</v>
      </c>
      <c r="U39" s="18">
        <v>149293201.59850129</v>
      </c>
      <c r="V39" s="18">
        <v>29029300.529914148</v>
      </c>
      <c r="W39" s="18">
        <v>55945533.437014528</v>
      </c>
      <c r="X39" s="18">
        <v>13757588.168210838</v>
      </c>
      <c r="Y39" s="18">
        <v>164320954.18981898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</row>
    <row r="40" spans="2:34" x14ac:dyDescent="0.2">
      <c r="B40" s="31">
        <f>ROUND(B39+('I1 General Inputs'!$H$26-'I1 General Inputs'!$G$26)/100,4)</f>
        <v>5.0599999999999999E-2</v>
      </c>
      <c r="C40" s="18">
        <v>237206884.36129531</v>
      </c>
      <c r="D40" s="18">
        <v>163177470.05985609</v>
      </c>
      <c r="E40" s="18">
        <v>19306475.589225572</v>
      </c>
      <c r="F40" s="18">
        <v>52185790.901482813</v>
      </c>
      <c r="G40" s="18">
        <v>6017619.9625855563</v>
      </c>
      <c r="H40" s="18">
        <v>137233693.19332552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S40" s="32">
        <f>ROUND(S39+('I2 CBA Inputs'!$H$9-'I2 CBA Inputs'!$G$9)/100,3)</f>
        <v>0.88</v>
      </c>
      <c r="T40" s="18">
        <v>231343263.4145115</v>
      </c>
      <c r="U40" s="18">
        <v>149168395.68393844</v>
      </c>
      <c r="V40" s="18">
        <v>28529387.924280856</v>
      </c>
      <c r="W40" s="18">
        <v>55778895.901803426</v>
      </c>
      <c r="X40" s="18">
        <v>13369743.668248776</v>
      </c>
      <c r="Y40" s="18">
        <v>162784676.49988306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</row>
    <row r="41" spans="2:34" x14ac:dyDescent="0.2">
      <c r="B41" s="31">
        <f>ROUND(B40+('I1 General Inputs'!$H$26-'I1 General Inputs'!$G$26)/100,4)</f>
        <v>5.1200000000000002E-2</v>
      </c>
      <c r="C41" s="18">
        <v>235628048.28730309</v>
      </c>
      <c r="D41" s="18">
        <v>161887680.86022595</v>
      </c>
      <c r="E41" s="18">
        <v>19095197.593638033</v>
      </c>
      <c r="F41" s="18">
        <v>52161741.446732894</v>
      </c>
      <c r="G41" s="18">
        <v>5869840.0091176536</v>
      </c>
      <c r="H41" s="18">
        <v>136394420.56538627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S41" s="32">
        <f>ROUND(S40+('I2 CBA Inputs'!$H$9-'I2 CBA Inputs'!$G$9)/100,3)</f>
        <v>0.88500000000000001</v>
      </c>
      <c r="T41" s="18">
        <v>230718544.89431539</v>
      </c>
      <c r="U41" s="18">
        <v>149043589.76937556</v>
      </c>
      <c r="V41" s="18">
        <v>28029475.318647578</v>
      </c>
      <c r="W41" s="18">
        <v>55612258.366592318</v>
      </c>
      <c r="X41" s="18">
        <v>12981899.168286705</v>
      </c>
      <c r="Y41" s="18">
        <v>161248398.80994707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</row>
    <row r="42" spans="2:34" x14ac:dyDescent="0.2">
      <c r="B42" s="31">
        <f>ROUND(B41+('I1 General Inputs'!$H$26-'I1 General Inputs'!$G$26)/100,4)</f>
        <v>5.1799999999999999E-2</v>
      </c>
      <c r="C42" s="18">
        <v>234063563.96581611</v>
      </c>
      <c r="D42" s="18">
        <v>160609977.78327265</v>
      </c>
      <c r="E42" s="18">
        <v>18886049.090815637</v>
      </c>
      <c r="F42" s="18">
        <v>52136891.904047407</v>
      </c>
      <c r="G42" s="18">
        <v>5723367.8820315143</v>
      </c>
      <c r="H42" s="18">
        <v>135560078.58546722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S42" s="32">
        <f>ROUND(S41+('I2 CBA Inputs'!$H$9-'I2 CBA Inputs'!$G$9)/100,3)</f>
        <v>0.89</v>
      </c>
      <c r="T42" s="18">
        <v>230093826.37411919</v>
      </c>
      <c r="U42" s="18">
        <v>148918783.85481271</v>
      </c>
      <c r="V42" s="18">
        <v>27529562.713014286</v>
      </c>
      <c r="W42" s="18">
        <v>55445620.831381239</v>
      </c>
      <c r="X42" s="18">
        <v>12594054.668324634</v>
      </c>
      <c r="Y42" s="18">
        <v>159712121.12001118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</row>
    <row r="43" spans="2:34" x14ac:dyDescent="0.2">
      <c r="B43" s="31">
        <f>ROUND(B42+('I1 General Inputs'!$H$26-'I1 General Inputs'!$G$26)/100,4)</f>
        <v>5.2400000000000002E-2</v>
      </c>
      <c r="C43" s="18">
        <v>232513262.58029392</v>
      </c>
      <c r="D43" s="18">
        <v>159344226.60337591</v>
      </c>
      <c r="E43" s="18">
        <v>18678998.718534216</v>
      </c>
      <c r="F43" s="18">
        <v>52111251.503038362</v>
      </c>
      <c r="G43" s="18">
        <v>5578185.5886808857</v>
      </c>
      <c r="H43" s="18">
        <v>134730613.73135224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S43" s="32">
        <f>ROUND(S42+('I2 CBA Inputs'!$H$9-'I2 CBA Inputs'!$G$9)/100,3)</f>
        <v>0.89500000000000002</v>
      </c>
      <c r="T43" s="18">
        <v>229469107.85392308</v>
      </c>
      <c r="U43" s="18">
        <v>148793977.94024983</v>
      </c>
      <c r="V43" s="18">
        <v>27029650.107381009</v>
      </c>
      <c r="W43" s="18">
        <v>55278983.29617013</v>
      </c>
      <c r="X43" s="18">
        <v>12206210.168362573</v>
      </c>
      <c r="Y43" s="18">
        <v>158175843.43007526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</row>
    <row r="44" spans="2:34" x14ac:dyDescent="0.2">
      <c r="B44" s="31">
        <f>ROUND(B43+('I1 General Inputs'!$H$26-'I1 General Inputs'!$G$26)/100,4)</f>
        <v>5.2999999999999999E-2</v>
      </c>
      <c r="C44" s="18">
        <v>230976977.66161183</v>
      </c>
      <c r="D44" s="18">
        <v>158090294.79303166</v>
      </c>
      <c r="E44" s="18">
        <v>18474015.667600017</v>
      </c>
      <c r="F44" s="18">
        <v>52084829.419252783</v>
      </c>
      <c r="G44" s="18">
        <v>5434275.4602534883</v>
      </c>
      <c r="H44" s="18">
        <v>133905973.44614321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S44" s="32">
        <f>ROUND(S43+('I2 CBA Inputs'!$H$9-'I2 CBA Inputs'!$G$9)/100,3)</f>
        <v>0.9</v>
      </c>
      <c r="T44" s="18">
        <v>228844389.33372694</v>
      </c>
      <c r="U44" s="18">
        <v>148669172.02568698</v>
      </c>
      <c r="V44" s="18">
        <v>26529737.501747712</v>
      </c>
      <c r="W44" s="18">
        <v>55112345.760959052</v>
      </c>
      <c r="X44" s="18">
        <v>11818365.668400502</v>
      </c>
      <c r="Y44" s="18">
        <v>156639565.74013925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</row>
    <row r="45" spans="2:34" x14ac:dyDescent="0.2">
      <c r="B45" s="31">
        <f>ROUND(B44+('I1 General Inputs'!$H$26-'I1 General Inputs'!$G$26)/100,4)</f>
        <v>5.3600000000000002E-2</v>
      </c>
      <c r="C45" s="18">
        <v>229454545.05202147</v>
      </c>
      <c r="D45" s="18">
        <v>156848051.49915895</v>
      </c>
      <c r="E45" s="18">
        <v>18271069.67166283</v>
      </c>
      <c r="F45" s="18">
        <v>52057634.773664519</v>
      </c>
      <c r="G45" s="18">
        <v>5291620.1456150198</v>
      </c>
      <c r="H45" s="18">
        <v>133086106.11890197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S45" s="32">
        <f>ROUND(S44+('I2 CBA Inputs'!$H$9-'I2 CBA Inputs'!$G$9)/100,3)</f>
        <v>0.90500000000000003</v>
      </c>
      <c r="T45" s="18">
        <v>228219670.81353074</v>
      </c>
      <c r="U45" s="18">
        <v>148544366.1111241</v>
      </c>
      <c r="V45" s="18">
        <v>26029824.896114435</v>
      </c>
      <c r="W45" s="18">
        <v>54945708.225747943</v>
      </c>
      <c r="X45" s="18">
        <v>11430521.168438431</v>
      </c>
      <c r="Y45" s="18">
        <v>155103288.05020335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</row>
    <row r="46" spans="2:34" x14ac:dyDescent="0.2">
      <c r="B46" s="31">
        <f>ROUND(B45+('I1 General Inputs'!$H$26-'I1 General Inputs'!$G$26)/100,4)</f>
        <v>5.4199999999999998E-2</v>
      </c>
      <c r="C46" s="18">
        <v>227945802.86970311</v>
      </c>
      <c r="D46" s="18">
        <v>155617367.51976442</v>
      </c>
      <c r="E46" s="18">
        <v>18070130.997218996</v>
      </c>
      <c r="F46" s="18">
        <v>52029676.632194452</v>
      </c>
      <c r="G46" s="18">
        <v>5150202.6052703634</v>
      </c>
      <c r="H46" s="18">
        <v>132270961.065677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S46" s="32">
        <f>ROUND(S45+('I2 CBA Inputs'!$H$9-'I2 CBA Inputs'!$G$9)/100,3)</f>
        <v>0.91</v>
      </c>
      <c r="T46" s="18">
        <v>227594952.29333463</v>
      </c>
      <c r="U46" s="18">
        <v>148419560.19656125</v>
      </c>
      <c r="V46" s="18">
        <v>25529912.290481143</v>
      </c>
      <c r="W46" s="18">
        <v>54779070.690536842</v>
      </c>
      <c r="X46" s="18">
        <v>11042676.668476371</v>
      </c>
      <c r="Y46" s="18">
        <v>153567010.36026746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</row>
    <row r="47" spans="2:34" x14ac:dyDescent="0.2">
      <c r="B47" s="31">
        <f>ROUND(B46+('I1 General Inputs'!$H$26-'I1 General Inputs'!$G$26)/100,4)</f>
        <v>5.4800000000000001E-2</v>
      </c>
      <c r="C47" s="18">
        <v>226450591.47388989</v>
      </c>
      <c r="D47" s="18">
        <v>154398115.28095257</v>
      </c>
      <c r="E47" s="18">
        <v>17871170.433798756</v>
      </c>
      <c r="F47" s="18">
        <v>52000964.005257353</v>
      </c>
      <c r="G47" s="18">
        <v>5010006.1054392066</v>
      </c>
      <c r="H47" s="18">
        <v>131460488.5109029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S47" s="32">
        <f>ROUND(S46+('I2 CBA Inputs'!$H$9-'I2 CBA Inputs'!$G$9)/100,3)</f>
        <v>0.91500000000000004</v>
      </c>
      <c r="T47" s="18">
        <v>226970233.77313846</v>
      </c>
      <c r="U47" s="18">
        <v>148294754.2819984</v>
      </c>
      <c r="V47" s="18">
        <v>25029999.684847865</v>
      </c>
      <c r="W47" s="18">
        <v>54612433.155325755</v>
      </c>
      <c r="X47" s="18">
        <v>10654832.1685143</v>
      </c>
      <c r="Y47" s="18">
        <v>152030732.67033142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</row>
    <row r="48" spans="2:34" x14ac:dyDescent="0.2">
      <c r="B48" s="31">
        <f>ROUND(B47+('I1 General Inputs'!$H$26-'I1 General Inputs'!$G$26)/100,4)</f>
        <v>5.5399999999999998E-2</v>
      </c>
      <c r="C48" s="18">
        <v>224968753.430567</v>
      </c>
      <c r="D48" s="18">
        <v>153190168.81428641</v>
      </c>
      <c r="E48" s="18">
        <v>17674159.284337573</v>
      </c>
      <c r="F48" s="18">
        <v>51971505.847335398</v>
      </c>
      <c r="G48" s="18">
        <v>4871014.212244981</v>
      </c>
      <c r="H48" s="18">
        <v>130654639.56917432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S48" s="32">
        <f>ROUND(S47+('I2 CBA Inputs'!$H$9-'I2 CBA Inputs'!$G$9)/100,3)</f>
        <v>0.92</v>
      </c>
      <c r="T48" s="18">
        <v>226345515.25294229</v>
      </c>
      <c r="U48" s="18">
        <v>148169948.36743551</v>
      </c>
      <c r="V48" s="18">
        <v>24530087.079214573</v>
      </c>
      <c r="W48" s="18">
        <v>54445795.620114654</v>
      </c>
      <c r="X48" s="18">
        <v>10266987.668552229</v>
      </c>
      <c r="Y48" s="18">
        <v>150494454.98039553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</row>
    <row r="49" spans="2:34" x14ac:dyDescent="0.2">
      <c r="B49" s="31">
        <f>ROUND(B48+('I1 General Inputs'!$H$26-'I1 General Inputs'!$G$26)/100,4)</f>
        <v>5.6000000000000001E-2</v>
      </c>
      <c r="C49" s="18">
        <v>223500133.47872725</v>
      </c>
      <c r="D49" s="18">
        <v>151993403.73448616</v>
      </c>
      <c r="E49" s="18">
        <v>17479069.355725233</v>
      </c>
      <c r="F49" s="18">
        <v>51941311.056577198</v>
      </c>
      <c r="G49" s="18">
        <v>4733210.7860137997</v>
      </c>
      <c r="H49" s="18">
        <v>129853366.22737706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S49" s="32">
        <f>ROUND(S48+('I2 CBA Inputs'!$H$9-'I2 CBA Inputs'!$G$9)/100,3)</f>
        <v>0.92500000000000004</v>
      </c>
      <c r="T49" s="18">
        <v>225720796.73274612</v>
      </c>
      <c r="U49" s="18">
        <v>148045142.45287266</v>
      </c>
      <c r="V49" s="18">
        <v>24030174.473581292</v>
      </c>
      <c r="W49" s="18">
        <v>54279158.084903575</v>
      </c>
      <c r="X49" s="18">
        <v>9879143.1685901675</v>
      </c>
      <c r="Y49" s="18">
        <v>148958177.29045954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</row>
    <row r="50" spans="2:34" x14ac:dyDescent="0.2">
      <c r="B50" s="31">
        <f>ROUND(B49+('I1 General Inputs'!$H$26-'I1 General Inputs'!$G$26)/100,4)</f>
        <v>5.6599999999999998E-2</v>
      </c>
      <c r="C50" s="18">
        <v>222044578.49718028</v>
      </c>
      <c r="D50" s="18">
        <v>150807697.21746469</v>
      </c>
      <c r="E50" s="18">
        <v>17285872.949531365</v>
      </c>
      <c r="F50" s="18">
        <v>51910388.474421836</v>
      </c>
      <c r="G50" s="18">
        <v>4596579.9756826069</v>
      </c>
      <c r="H50" s="18">
        <v>129056621.32717952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S50" s="32">
        <f>ROUND(S49+('I2 CBA Inputs'!$H$9-'I2 CBA Inputs'!$G$9)/100,3)</f>
        <v>0.93</v>
      </c>
      <c r="T50" s="18">
        <v>225096078.21255001</v>
      </c>
      <c r="U50" s="18">
        <v>147920336.53830978</v>
      </c>
      <c r="V50" s="18">
        <v>23530261.867947999</v>
      </c>
      <c r="W50" s="18">
        <v>54112520.549692467</v>
      </c>
      <c r="X50" s="18">
        <v>9491298.6686280984</v>
      </c>
      <c r="Y50" s="18">
        <v>147421899.60052362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</row>
    <row r="51" spans="2:34" x14ac:dyDescent="0.2">
      <c r="B51" s="31">
        <f>ROUND(B50+('I1 General Inputs'!$H$26-'I1 General Inputs'!$G$26)/100,4)</f>
        <v>5.7200000000000001E-2</v>
      </c>
      <c r="C51" s="18">
        <v>220601937.47189495</v>
      </c>
      <c r="D51" s="18">
        <v>149632927.97868696</v>
      </c>
      <c r="E51" s="18">
        <v>17094542.852902502</v>
      </c>
      <c r="F51" s="18">
        <v>51878746.885247208</v>
      </c>
      <c r="G51" s="18">
        <v>4461106.2133127991</v>
      </c>
      <c r="H51" s="18">
        <v>128264358.54786676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S51" s="32">
        <f>ROUND(S50+('I2 CBA Inputs'!$H$9-'I2 CBA Inputs'!$G$9)/100,3)</f>
        <v>0.93500000000000005</v>
      </c>
      <c r="T51" s="18">
        <v>224471359.69235387</v>
      </c>
      <c r="U51" s="18">
        <v>147795530.6237469</v>
      </c>
      <c r="V51" s="18">
        <v>23030349.262314722</v>
      </c>
      <c r="W51" s="18">
        <v>53945883.014481358</v>
      </c>
      <c r="X51" s="18">
        <v>9103454.1686660256</v>
      </c>
      <c r="Y51" s="18">
        <v>145885621.91058773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</row>
    <row r="52" spans="2:34" x14ac:dyDescent="0.2">
      <c r="B52" s="31">
        <f>ROUND(B51+('I1 General Inputs'!$H$26-'I1 General Inputs'!$G$26)/100,4)</f>
        <v>5.7799999999999997E-2</v>
      </c>
      <c r="C52" s="18">
        <v>219172061.46387953</v>
      </c>
      <c r="D52" s="18">
        <v>148468976.25185895</v>
      </c>
      <c r="E52" s="18">
        <v>16905052.329628672</v>
      </c>
      <c r="F52" s="18">
        <v>51846395.0160418</v>
      </c>
      <c r="G52" s="18">
        <v>4326774.2087088954</v>
      </c>
      <c r="H52" s="18">
        <v>127476532.38951854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S52" s="32">
        <f>ROUND(S51+('I2 CBA Inputs'!$H$9-'I2 CBA Inputs'!$G$9)/100,3)</f>
        <v>0.94</v>
      </c>
      <c r="T52" s="18">
        <v>223846641.1721577</v>
      </c>
      <c r="U52" s="18">
        <v>147670724.70918402</v>
      </c>
      <c r="V52" s="18">
        <v>22530436.65668143</v>
      </c>
      <c r="W52" s="18">
        <v>53779245.479270287</v>
      </c>
      <c r="X52" s="18">
        <v>8715609.6687039677</v>
      </c>
      <c r="Y52" s="18">
        <v>144349344.22065172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</row>
    <row r="53" spans="2:34" x14ac:dyDescent="0.2">
      <c r="B53" s="31">
        <f>ROUND(B52+('I1 General Inputs'!$H$26-'I1 General Inputs'!$G$26)/100,4)</f>
        <v>5.8400000000000001E-2</v>
      </c>
      <c r="C53" s="18">
        <v>217754803.57758248</v>
      </c>
      <c r="D53" s="18">
        <v>147315723.76793391</v>
      </c>
      <c r="E53" s="18">
        <v>16717375.111376069</v>
      </c>
      <c r="F53" s="18">
        <v>51813341.536099598</v>
      </c>
      <c r="G53" s="18">
        <v>4193568.944139672</v>
      </c>
      <c r="H53" s="18">
        <v>126693098.15652426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S53" s="32">
        <f>ROUND(S52+('I2 CBA Inputs'!$H$9-'I2 CBA Inputs'!$G$9)/100,3)</f>
        <v>0.94499999999999995</v>
      </c>
      <c r="T53" s="18">
        <v>223221922.65196157</v>
      </c>
      <c r="U53" s="18">
        <v>147545918.79462117</v>
      </c>
      <c r="V53" s="18">
        <v>22030524.051048152</v>
      </c>
      <c r="W53" s="18">
        <v>53612607.944059171</v>
      </c>
      <c r="X53" s="18">
        <v>8327765.1687418986</v>
      </c>
      <c r="Y53" s="18">
        <v>142813066.53071582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</row>
    <row r="54" spans="2:34" x14ac:dyDescent="0.2">
      <c r="B54" s="31">
        <f>ROUND(B53+('I1 General Inputs'!$H$26-'I1 General Inputs'!$G$26)/100,4)</f>
        <v>5.8999999999999997E-2</v>
      </c>
      <c r="C54" s="18">
        <v>216350018.92980388</v>
      </c>
      <c r="D54" s="18">
        <v>146173053.73442966</v>
      </c>
      <c r="E54" s="18">
        <v>16531485.389082</v>
      </c>
      <c r="F54" s="18">
        <v>51779595.05673714</v>
      </c>
      <c r="G54" s="18">
        <v>4061475.6691591488</v>
      </c>
      <c r="H54" s="18">
        <v>125914011.94142041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S54" s="32">
        <f>ROUND(S53+('I2 CBA Inputs'!$H$9-'I2 CBA Inputs'!$G$9)/100,3)</f>
        <v>0.95</v>
      </c>
      <c r="T54" s="18">
        <v>222597204.13176537</v>
      </c>
      <c r="U54" s="18">
        <v>147421112.88005829</v>
      </c>
      <c r="V54" s="18">
        <v>21530611.44541486</v>
      </c>
      <c r="W54" s="18">
        <v>53445970.408848099</v>
      </c>
      <c r="X54" s="18">
        <v>7939920.6687798277</v>
      </c>
      <c r="Y54" s="18">
        <v>141276788.84077993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</row>
    <row r="55" spans="2:34" x14ac:dyDescent="0.2">
      <c r="B55" s="31">
        <f>ROUND(B54+('I1 General Inputs'!$H$26-'I1 General Inputs'!$G$26)/100,4)</f>
        <v>5.96E-2</v>
      </c>
      <c r="C55" s="18">
        <v>214957564.61911312</v>
      </c>
      <c r="D55" s="18">
        <v>145040850.81505701</v>
      </c>
      <c r="E55" s="18">
        <v>16347357.804509832</v>
      </c>
      <c r="F55" s="18">
        <v>51745164.131032422</v>
      </c>
      <c r="G55" s="18">
        <v>3930479.8955265596</v>
      </c>
      <c r="H55" s="18">
        <v>125139230.6090541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S55" s="32">
        <f>ROUND(S54+('I2 CBA Inputs'!$H$9-'I2 CBA Inputs'!$G$9)/100,3)</f>
        <v>0.95499999999999996</v>
      </c>
      <c r="T55" s="18">
        <v>221972485.61156926</v>
      </c>
      <c r="U55" s="18">
        <v>147296306.96549544</v>
      </c>
      <c r="V55" s="18">
        <v>21030698.839781579</v>
      </c>
      <c r="W55" s="18">
        <v>53279332.873636991</v>
      </c>
      <c r="X55" s="18">
        <v>7552076.1688177669</v>
      </c>
      <c r="Y55" s="18">
        <v>139740511.15084389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</row>
    <row r="56" spans="2:34" x14ac:dyDescent="0.2">
      <c r="B56" s="31">
        <f>ROUND(B55+('I1 General Inputs'!$H$26-'I1 General Inputs'!$G$26)/100,4)</f>
        <v>6.0199999999999997E-2</v>
      </c>
      <c r="C56" s="18">
        <v>213577299.69576514</v>
      </c>
      <c r="D56" s="18">
        <v>143919001.10965383</v>
      </c>
      <c r="E56" s="18">
        <v>16164967.441961244</v>
      </c>
      <c r="F56" s="18">
        <v>51710057.25358475</v>
      </c>
      <c r="G56" s="18">
        <v>3800567.3922231947</v>
      </c>
      <c r="H56" s="18">
        <v>124368711.78106135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S56" s="32">
        <f>ROUND(S55+('I2 CBA Inputs'!$H$9-'I2 CBA Inputs'!$G$9)/100,3)</f>
        <v>0.96</v>
      </c>
      <c r="T56" s="18">
        <v>221347767.09137309</v>
      </c>
      <c r="U56" s="18">
        <v>147171501.05093256</v>
      </c>
      <c r="V56" s="18">
        <v>20530786.234148286</v>
      </c>
      <c r="W56" s="18">
        <v>53112695.338425912</v>
      </c>
      <c r="X56" s="18">
        <v>7164231.668855696</v>
      </c>
      <c r="Y56" s="18">
        <v>138204233.46090797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</row>
    <row r="57" spans="2:34" x14ac:dyDescent="0.2">
      <c r="B57" s="31">
        <f>ROUND(B56+('I1 General Inputs'!$H$26-'I1 General Inputs'!$G$26)/100,4)</f>
        <v>6.08E-2</v>
      </c>
      <c r="C57" s="18">
        <v>212209085.13209847</v>
      </c>
      <c r="D57" s="18">
        <v>142807392.13441265</v>
      </c>
      <c r="E57" s="18">
        <v>15984289.820141304</v>
      </c>
      <c r="F57" s="18">
        <v>51674282.86029502</v>
      </c>
      <c r="G57" s="18">
        <v>3671724.1805634773</v>
      </c>
      <c r="H57" s="18">
        <v>123602413.8206518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S57" s="32">
        <f>ROUND(S56+('I2 CBA Inputs'!$H$9-'I2 CBA Inputs'!$G$9)/100,3)</f>
        <v>0.96499999999999997</v>
      </c>
      <c r="T57" s="18">
        <v>220723048.57117692</v>
      </c>
      <c r="U57" s="18">
        <v>147046695.13636968</v>
      </c>
      <c r="V57" s="18">
        <v>20030873.628515009</v>
      </c>
      <c r="W57" s="18">
        <v>52946057.803214803</v>
      </c>
      <c r="X57" s="18">
        <v>6776387.168893626</v>
      </c>
      <c r="Y57" s="18">
        <v>136667955.77097198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</row>
    <row r="58" spans="2:34" x14ac:dyDescent="0.2">
      <c r="B58" s="31">
        <f>ROUND(B57+('I1 General Inputs'!$H$26-'I1 General Inputs'!$G$26)/100,4)</f>
        <v>6.1400000000000003E-2</v>
      </c>
      <c r="C58" s="18">
        <v>210852783.79341742</v>
      </c>
      <c r="D58" s="18">
        <v>141705912.80240753</v>
      </c>
      <c r="E58" s="18">
        <v>15805300.884175396</v>
      </c>
      <c r="F58" s="18">
        <v>51637849.328166187</v>
      </c>
      <c r="G58" s="18">
        <v>3543936.5293995086</v>
      </c>
      <c r="H58" s="18">
        <v>122840295.81769995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S58" s="32">
        <f>ROUND(S57+('I2 CBA Inputs'!$H$9-'I2 CBA Inputs'!$G$9)/100,3)</f>
        <v>0.97</v>
      </c>
      <c r="T58" s="18">
        <v>220098330.05098075</v>
      </c>
      <c r="U58" s="18">
        <v>146921889.22180682</v>
      </c>
      <c r="V58" s="18">
        <v>19530961.02288172</v>
      </c>
      <c r="W58" s="18">
        <v>52779420.268003702</v>
      </c>
      <c r="X58" s="18">
        <v>6388542.6689315578</v>
      </c>
      <c r="Y58" s="18">
        <v>135131678.08103609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</row>
    <row r="59" spans="2:34" x14ac:dyDescent="0.2">
      <c r="B59" s="31">
        <f>ROUND(B58+('I1 General Inputs'!$H$26-'I1 General Inputs'!$G$26)/100,4)</f>
        <v>6.2E-2</v>
      </c>
      <c r="C59" s="18">
        <v>209508260.40934283</v>
      </c>
      <c r="D59" s="18">
        <v>140614453.40440816</v>
      </c>
      <c r="E59" s="18">
        <v>15627976.99777394</v>
      </c>
      <c r="F59" s="18">
        <v>51600764.975122549</v>
      </c>
      <c r="G59" s="18">
        <v>3417190.9504168718</v>
      </c>
      <c r="H59" s="18">
        <v>122082317.57413119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S59" s="32">
        <f>ROUND(S58+('I2 CBA Inputs'!$H$9-'I2 CBA Inputs'!$G$9)/100,3)</f>
        <v>0.97499999999999998</v>
      </c>
      <c r="T59" s="18">
        <v>219473611.53078464</v>
      </c>
      <c r="U59" s="18">
        <v>146797083.30724397</v>
      </c>
      <c r="V59" s="18">
        <v>19031048.417248439</v>
      </c>
      <c r="W59" s="18">
        <v>52612782.732792616</v>
      </c>
      <c r="X59" s="18">
        <v>6000698.1689694924</v>
      </c>
      <c r="Y59" s="18">
        <v>133595400.39110015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</row>
    <row r="60" spans="2:34" x14ac:dyDescent="0.2">
      <c r="B60" s="31">
        <f>ROUND(B59+('I1 General Inputs'!$H$26-'I1 General Inputs'!$G$26)/100,4)</f>
        <v>6.2600000000000003E-2</v>
      </c>
      <c r="C60" s="18">
        <v>208175381.54562849</v>
      </c>
      <c r="D60" s="18">
        <v>139532905.58998048</v>
      </c>
      <c r="E60" s="18">
        <v>15452294.935542697</v>
      </c>
      <c r="F60" s="18">
        <v>51563038.059848495</v>
      </c>
      <c r="G60" s="18">
        <v>3291474.1935198167</v>
      </c>
      <c r="H60" s="18">
        <v>121328439.58960108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S60" s="32">
        <f>ROUND(S59+('I2 CBA Inputs'!$H$9-'I2 CBA Inputs'!$G$9)/100,3)</f>
        <v>0.98</v>
      </c>
      <c r="T60" s="18">
        <v>218848893.0105885</v>
      </c>
      <c r="U60" s="18">
        <v>146672277.39268112</v>
      </c>
      <c r="V60" s="18">
        <v>18531135.811615143</v>
      </c>
      <c r="W60" s="18">
        <v>52446145.197581515</v>
      </c>
      <c r="X60" s="18">
        <v>5612853.6690074205</v>
      </c>
      <c r="Y60" s="18">
        <v>132059122.70116419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</row>
    <row r="61" spans="2:34" x14ac:dyDescent="0.2">
      <c r="B61" s="31">
        <f>ROUND(B60+('I1 General Inputs'!$H$26-'I1 General Inputs'!$G$26)/100,4)</f>
        <v>6.3200000000000006E-2</v>
      </c>
      <c r="C61" s="18">
        <v>206854015.57642806</v>
      </c>
      <c r="D61" s="18">
        <v>138461162.34886488</v>
      </c>
      <c r="E61" s="18">
        <v>15278231.875435406</v>
      </c>
      <c r="F61" s="18">
        <v>51524676.781644687</v>
      </c>
      <c r="G61" s="18">
        <v>3166773.2423042832</v>
      </c>
      <c r="H61" s="18">
        <v>120578623.0474578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S61" s="32">
        <f>ROUND(S60+('I2 CBA Inputs'!$H$9-'I2 CBA Inputs'!$G$9)/100,3)</f>
        <v>0.98499999999999999</v>
      </c>
      <c r="T61" s="18">
        <v>218224174.49039233</v>
      </c>
      <c r="U61" s="18">
        <v>146547471.47811824</v>
      </c>
      <c r="V61" s="18">
        <v>18031223.205981866</v>
      </c>
      <c r="W61" s="18">
        <v>52279507.662370428</v>
      </c>
      <c r="X61" s="18">
        <v>5225009.1690453524</v>
      </c>
      <c r="Y61" s="18">
        <v>130522845.01122822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</row>
    <row r="62" spans="2:34" x14ac:dyDescent="0.2">
      <c r="B62" s="31">
        <f>ROUND(B61+('I1 General Inputs'!$H$26-'I1 General Inputs'!$G$26)/100,4)</f>
        <v>6.3799999999999996E-2</v>
      </c>
      <c r="C62" s="18">
        <v>205544032.65701467</v>
      </c>
      <c r="D62" s="18">
        <v>137399117.99263331</v>
      </c>
      <c r="E62" s="18">
        <v>15105765.391346764</v>
      </c>
      <c r="F62" s="18">
        <v>51485689.280302756</v>
      </c>
      <c r="G62" s="18">
        <v>3043075.3096172148</v>
      </c>
      <c r="H62" s="18">
        <v>119832829.80098709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S62" s="32">
        <f>ROUND(S61+('I2 CBA Inputs'!$H$9-'I2 CBA Inputs'!$G$9)/100,3)</f>
        <v>0.99</v>
      </c>
      <c r="T62" s="18">
        <v>217599455.97019619</v>
      </c>
      <c r="U62" s="18">
        <v>146422665.56355539</v>
      </c>
      <c r="V62" s="18">
        <v>17531310.600348569</v>
      </c>
      <c r="W62" s="18">
        <v>52112870.127159327</v>
      </c>
      <c r="X62" s="18">
        <v>4837164.6690832879</v>
      </c>
      <c r="Y62" s="18">
        <v>128986567.32129236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</row>
    <row r="63" spans="2:34" x14ac:dyDescent="0.2">
      <c r="B63" s="31">
        <f>ROUND(B62+('I1 General Inputs'!$H$26-'I1 General Inputs'!$G$26)/100,4)</f>
        <v>6.4399999999999999E-2</v>
      </c>
      <c r="C63" s="18">
        <v>204245304.69693911</v>
      </c>
      <c r="D63" s="18">
        <v>136346668.13661826</v>
      </c>
      <c r="E63" s="18">
        <v>14934873.445842871</v>
      </c>
      <c r="F63" s="18">
        <v>51446083.635996528</v>
      </c>
      <c r="G63" s="18">
        <v>2920367.8332003723</v>
      </c>
      <c r="H63" s="18">
        <v>119091022.35993087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S63" s="32">
        <f>ROUND(S62+('I2 CBA Inputs'!$H$9-'I2 CBA Inputs'!$G$9)/100,3)</f>
        <v>0.995</v>
      </c>
      <c r="T63" s="18">
        <v>216974737.45000002</v>
      </c>
      <c r="U63" s="18">
        <v>146297859.64899251</v>
      </c>
      <c r="V63" s="18">
        <v>17031397.994715296</v>
      </c>
      <c r="W63" s="18">
        <v>51946232.591948219</v>
      </c>
      <c r="X63" s="18">
        <v>4449320.1691212198</v>
      </c>
      <c r="Y63" s="18">
        <v>127450289.63135637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</row>
    <row r="64" spans="2:34" x14ac:dyDescent="0.2">
      <c r="B64" s="31">
        <f>ROUND(B63+('I1 General Inputs'!$H$26-'I1 General Inputs'!$G$26)/100,4)</f>
        <v>6.5000000000000002E-2</v>
      </c>
      <c r="C64" s="18">
        <v>202957705.33361751</v>
      </c>
      <c r="D64" s="18">
        <v>135303709.68210545</v>
      </c>
      <c r="E64" s="18">
        <v>14765534.383025872</v>
      </c>
      <c r="F64" s="18">
        <v>51405867.86919035</v>
      </c>
      <c r="G64" s="18">
        <v>2798638.4714169349</v>
      </c>
      <c r="H64" s="18">
        <v>118353163.87727399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S64" s="32">
        <f>ROUND(S63+('I2 CBA Inputs'!$H$9-'I2 CBA Inputs'!$G$9)/100,3)</f>
        <v>1</v>
      </c>
      <c r="T64" s="18">
        <v>216350018.92980388</v>
      </c>
      <c r="U64" s="18">
        <v>146173053.73442966</v>
      </c>
      <c r="V64" s="18">
        <v>16531485.389082</v>
      </c>
      <c r="W64" s="18">
        <v>51779595.05673714</v>
      </c>
      <c r="X64" s="18">
        <v>4061475.6691591488</v>
      </c>
      <c r="Y64" s="18">
        <v>125914011.94142041</v>
      </c>
      <c r="Z64" s="18">
        <v>0</v>
      </c>
      <c r="AA64" s="18">
        <v>0</v>
      </c>
      <c r="AB64" s="18">
        <v>0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</row>
    <row r="65" spans="2:34" x14ac:dyDescent="0.2">
      <c r="B65" s="31">
        <f>ROUND(B64+('I1 General Inputs'!$H$26-'I1 General Inputs'!$G$26)/100,4)</f>
        <v>6.5600000000000006E-2</v>
      </c>
      <c r="C65" s="18">
        <v>201681109.90634763</v>
      </c>
      <c r="D65" s="18">
        <v>134270140.79879388</v>
      </c>
      <c r="E65" s="18">
        <v>14597726.921531886</v>
      </c>
      <c r="F65" s="18">
        <v>51365049.940563336</v>
      </c>
      <c r="G65" s="18">
        <v>2677875.0990596567</v>
      </c>
      <c r="H65" s="18">
        <v>117619218.13629629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S65" s="32">
        <f>ROUND(S64+('I2 CBA Inputs'!$H$9-'I2 CBA Inputs'!$G$9)/100,3)</f>
        <v>1.0049999999999999</v>
      </c>
      <c r="T65" s="18">
        <v>215725300.40960768</v>
      </c>
      <c r="U65" s="18">
        <v>146048247.81986681</v>
      </c>
      <c r="V65" s="18">
        <v>16031572.783448724</v>
      </c>
      <c r="W65" s="18">
        <v>51612957.521526061</v>
      </c>
      <c r="X65" s="18">
        <v>3673631.1691970942</v>
      </c>
      <c r="Y65" s="18">
        <v>124377734.25148453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</row>
    <row r="66" spans="2:34" x14ac:dyDescent="0.2">
      <c r="B66" s="31">
        <f>ROUND(B65+('I1 General Inputs'!$H$26-'I1 General Inputs'!$G$26)/100,4)</f>
        <v>6.6199999999999995E-2</v>
      </c>
      <c r="C66" s="18">
        <v>200415395.43074411</v>
      </c>
      <c r="D66" s="18">
        <v>133245860.90751342</v>
      </c>
      <c r="E66" s="18">
        <v>14431430.147658216</v>
      </c>
      <c r="F66" s="18">
        <v>51323637.750949666</v>
      </c>
      <c r="G66" s="18">
        <v>2558065.8032386918</v>
      </c>
      <c r="H66" s="18">
        <v>116889149.53788386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S66" s="32">
        <f>ROUND(S65+('I2 CBA Inputs'!$H$9-'I2 CBA Inputs'!$G$9)/100,3)</f>
        <v>1.01</v>
      </c>
      <c r="T66" s="18">
        <v>215100581.88941157</v>
      </c>
      <c r="U66" s="18">
        <v>145923441.90530393</v>
      </c>
      <c r="V66" s="18">
        <v>15531660.177815447</v>
      </c>
      <c r="W66" s="18">
        <v>51446319.98631496</v>
      </c>
      <c r="X66" s="18">
        <v>3285786.6692350153</v>
      </c>
      <c r="Y66" s="18">
        <v>122841456.56154858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</row>
    <row r="67" spans="2:34" x14ac:dyDescent="0.2">
      <c r="B67" s="31">
        <f>ROUND(B66+('I1 General Inputs'!$H$26-'I1 General Inputs'!$G$26)/100,4)</f>
        <v>6.6799999999999998E-2</v>
      </c>
      <c r="C67" s="18">
        <v>199160440.57357976</v>
      </c>
      <c r="D67" s="18">
        <v>132230770.66319582</v>
      </c>
      <c r="E67" s="18">
        <v>14266623.508617718</v>
      </c>
      <c r="F67" s="18">
        <v>51281639.141293712</v>
      </c>
      <c r="G67" s="18">
        <v>2439198.8793477779</v>
      </c>
      <c r="H67" s="18">
        <v>116162923.08809188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S67" s="32">
        <f>ROUND(S66+('I2 CBA Inputs'!$H$9-'I2 CBA Inputs'!$G$9)/100,3)</f>
        <v>1.0149999999999999</v>
      </c>
      <c r="T67" s="18">
        <v>214475863.36921537</v>
      </c>
      <c r="U67" s="18">
        <v>145798635.99074104</v>
      </c>
      <c r="V67" s="18">
        <v>15031747.572182154</v>
      </c>
      <c r="W67" s="18">
        <v>51279682.451103844</v>
      </c>
      <c r="X67" s="18">
        <v>2897942.1692729611</v>
      </c>
      <c r="Y67" s="18">
        <v>121305178.87161262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</row>
    <row r="68" spans="2:34" x14ac:dyDescent="0.2">
      <c r="B68" s="31">
        <f>ROUND(B67+('I1 General Inputs'!$H$26-'I1 General Inputs'!$G$26)/100,4)</f>
        <v>6.7400000000000002E-2</v>
      </c>
      <c r="C68" s="18">
        <v>197916125.62803611</v>
      </c>
      <c r="D68" s="18">
        <v>131224771.93809876</v>
      </c>
      <c r="E68" s="18">
        <v>14103286.805919072</v>
      </c>
      <c r="F68" s="18">
        <v>51239061.892620139</v>
      </c>
      <c r="G68" s="18">
        <v>2321262.8271071762</v>
      </c>
      <c r="H68" s="18">
        <v>115440504.38595702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S68" s="32">
        <f>ROUND(S67+('I2 CBA Inputs'!$H$9-'I2 CBA Inputs'!$G$9)/100,3)</f>
        <v>1.02</v>
      </c>
      <c r="T68" s="18">
        <v>213851144.84901926</v>
      </c>
      <c r="U68" s="18">
        <v>145673830.07617816</v>
      </c>
      <c r="V68" s="18">
        <v>14531834.966548875</v>
      </c>
      <c r="W68" s="18">
        <v>51113044.915892772</v>
      </c>
      <c r="X68" s="18">
        <v>2510097.6693108822</v>
      </c>
      <c r="Y68" s="18">
        <v>119768901.18167664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</row>
    <row r="69" spans="2:34" x14ac:dyDescent="0.2">
      <c r="B69" s="31">
        <f>ROUND(B68+('I1 General Inputs'!$H$26-'I1 General Inputs'!$G$26)/100,4)</f>
        <v>6.8000000000000005E-2</v>
      </c>
      <c r="C69" s="18">
        <v>196682332.48934785</v>
      </c>
      <c r="D69" s="18">
        <v>130227767.80527562</v>
      </c>
      <c r="E69" s="18">
        <v>13941400.188868839</v>
      </c>
      <c r="F69" s="18">
        <v>51195913.726018645</v>
      </c>
      <c r="G69" s="18">
        <v>2204246.3466819497</v>
      </c>
      <c r="H69" s="18">
        <v>114721859.61155519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S69" s="32">
        <f>ROUND(S68+('I2 CBA Inputs'!$H$9-'I2 CBA Inputs'!$G$9)/100,3)</f>
        <v>1.0249999999999999</v>
      </c>
      <c r="T69" s="18">
        <v>213226426.32882315</v>
      </c>
      <c r="U69" s="18">
        <v>145549024.16161531</v>
      </c>
      <c r="V69" s="18">
        <v>14031922.360915581</v>
      </c>
      <c r="W69" s="18">
        <v>50946407.380681664</v>
      </c>
      <c r="X69" s="18">
        <v>2122253.1693488276</v>
      </c>
      <c r="Y69" s="18">
        <v>118232623.49174069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</row>
    <row r="70" spans="2:34" x14ac:dyDescent="0.2">
      <c r="B70" s="31">
        <f>ROUND(B69+('I1 General Inputs'!$H$26-'I1 General Inputs'!$G$26)/100,4)</f>
        <v>6.8599999999999994E-2</v>
      </c>
      <c r="C70" s="18">
        <v>195458944.63084131</v>
      </c>
      <c r="D70" s="18">
        <v>129239662.52229053</v>
      </c>
      <c r="E70" s="18">
        <v>13780944.148194928</v>
      </c>
      <c r="F70" s="18">
        <v>51152202.302642055</v>
      </c>
      <c r="G70" s="18">
        <v>2088138.3348744339</v>
      </c>
      <c r="H70" s="18">
        <v>114006955.51429701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S70" s="32">
        <f>ROUND(S69+('I2 CBA Inputs'!$H$9-'I2 CBA Inputs'!$G$9)/100,3)</f>
        <v>1.03</v>
      </c>
      <c r="T70" s="18">
        <v>212601707.80862695</v>
      </c>
      <c r="U70" s="18">
        <v>145424218.2470524</v>
      </c>
      <c r="V70" s="18">
        <v>13532009.755282301</v>
      </c>
      <c r="W70" s="18">
        <v>50779769.845470555</v>
      </c>
      <c r="X70" s="18">
        <v>1734408.6693867433</v>
      </c>
      <c r="Y70" s="18">
        <v>116696345.8018048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</row>
    <row r="71" spans="2:34" x14ac:dyDescent="0.2">
      <c r="B71" s="31">
        <f>ROUND(B70+('I1 General Inputs'!$H$26-'I1 General Inputs'!$G$26)/100,4)</f>
        <v>6.9199999999999998E-2</v>
      </c>
      <c r="C71" s="18">
        <v>194245847.08035207</v>
      </c>
      <c r="D71" s="18">
        <v>128260361.51516822</v>
      </c>
      <c r="E71" s="18">
        <v>13621899.509787224</v>
      </c>
      <c r="F71" s="18">
        <v>51107935.223718151</v>
      </c>
      <c r="G71" s="18">
        <v>1972927.8813886624</v>
      </c>
      <c r="H71" s="18">
        <v>113295759.40145662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S71" s="32">
        <f>ROUND(S70+('I2 CBA Inputs'!$H$9-'I2 CBA Inputs'!$G$9)/100,3)</f>
        <v>1.0349999999999999</v>
      </c>
      <c r="T71" s="18">
        <v>211976989.28843081</v>
      </c>
      <c r="U71" s="18">
        <v>145299412.33248958</v>
      </c>
      <c r="V71" s="18">
        <v>13032097.149649009</v>
      </c>
      <c r="W71" s="18">
        <v>50613132.310259476</v>
      </c>
      <c r="X71" s="18">
        <v>1346564.1694246889</v>
      </c>
      <c r="Y71" s="18">
        <v>115160068.11186884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</row>
    <row r="72" spans="2:34" x14ac:dyDescent="0.2">
      <c r="B72" s="31">
        <f>ROUND(B71+('I1 General Inputs'!$H$26-'I1 General Inputs'!$G$26)/100,4)</f>
        <v>6.9800000000000001E-2</v>
      </c>
      <c r="C72" s="18">
        <v>193042926.39702392</v>
      </c>
      <c r="D72" s="18">
        <v>127289771.36258385</v>
      </c>
      <c r="E72" s="18">
        <v>13464247.428555002</v>
      </c>
      <c r="F72" s="18">
        <v>51063120.030574888</v>
      </c>
      <c r="G72" s="18">
        <v>1858604.265166502</v>
      </c>
      <c r="H72" s="18">
        <v>112588239.126932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S72" s="32">
        <f>ROUND(S71+('I2 CBA Inputs'!$H$9-'I2 CBA Inputs'!$G$9)/100,3)</f>
        <v>1.04</v>
      </c>
      <c r="T72" s="18">
        <v>211352270.76823464</v>
      </c>
      <c r="U72" s="18">
        <v>145174606.4179267</v>
      </c>
      <c r="V72" s="18">
        <v>12532184.544015732</v>
      </c>
      <c r="W72" s="18">
        <v>50446494.775048368</v>
      </c>
      <c r="X72" s="18">
        <v>958719.66946260992</v>
      </c>
      <c r="Y72" s="18">
        <v>113623790.42193291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</row>
    <row r="73" spans="2:34" x14ac:dyDescent="0.2">
      <c r="B73" s="31">
        <f>ROUND(B72+('I1 General Inputs'!$H$26-'I1 General Inputs'!$G$26)/100,4)</f>
        <v>7.0400000000000004E-2</v>
      </c>
      <c r="C73" s="18">
        <v>191850070.64847988</v>
      </c>
      <c r="D73" s="18">
        <v>126327799.78028378</v>
      </c>
      <c r="E73" s="18">
        <v>13307969.382398041</v>
      </c>
      <c r="F73" s="18">
        <v>51017764.204677381</v>
      </c>
      <c r="G73" s="18">
        <v>1745156.9507932912</v>
      </c>
      <c r="H73" s="18">
        <v>111884363.08023044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S73" s="32">
        <f>ROUND(S72+('I2 CBA Inputs'!$H$9-'I2 CBA Inputs'!$G$9)/100,3)</f>
        <v>1.0449999999999999</v>
      </c>
      <c r="T73" s="18">
        <v>210727552.2480385</v>
      </c>
      <c r="U73" s="18">
        <v>145049800.50336385</v>
      </c>
      <c r="V73" s="18">
        <v>12032271.938382439</v>
      </c>
      <c r="W73" s="18">
        <v>50279857.239837289</v>
      </c>
      <c r="X73" s="18">
        <v>570875.16950055736</v>
      </c>
      <c r="Y73" s="18">
        <v>112087512.73199694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0</v>
      </c>
      <c r="AG73" s="18">
        <v>0</v>
      </c>
      <c r="AH73" s="18">
        <v>0</v>
      </c>
    </row>
    <row r="74" spans="2:34" x14ac:dyDescent="0.2">
      <c r="B74" s="31">
        <f>ROUND(B73+('I1 General Inputs'!$H$26-'I1 General Inputs'!$G$26)/100,4)</f>
        <v>7.0999999999999994E-2</v>
      </c>
      <c r="C74" s="18">
        <v>190667169.38835272</v>
      </c>
      <c r="D74" s="18">
        <v>125374355.60573192</v>
      </c>
      <c r="E74" s="18">
        <v>13153047.166288855</v>
      </c>
      <c r="F74" s="18">
        <v>50971875.167678334</v>
      </c>
      <c r="G74" s="18">
        <v>1632575.5849719748</v>
      </c>
      <c r="H74" s="18">
        <v>111184100.17567357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S74" s="32">
        <f>ROUND(S73+('I2 CBA Inputs'!$H$9-'I2 CBA Inputs'!$G$9)/100,3)</f>
        <v>1.05</v>
      </c>
      <c r="T74" s="18">
        <v>210102833.72784233</v>
      </c>
      <c r="U74" s="18">
        <v>144924994.58880097</v>
      </c>
      <c r="V74" s="18">
        <v>11532359.33274916</v>
      </c>
      <c r="W74" s="18">
        <v>50113219.704626188</v>
      </c>
      <c r="X74" s="18">
        <v>183030.66953847132</v>
      </c>
      <c r="Y74" s="18">
        <v>110551235.04206097</v>
      </c>
      <c r="Z74" s="18">
        <v>0</v>
      </c>
      <c r="AA74" s="18">
        <v>0</v>
      </c>
      <c r="AB74" s="18">
        <v>0</v>
      </c>
      <c r="AC74" s="18">
        <v>0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</row>
    <row r="75" spans="2:34" x14ac:dyDescent="0.2">
      <c r="B75" s="31">
        <f>ROUND(B74+('I1 General Inputs'!$H$26-'I1 General Inputs'!$G$26)/100,4)</f>
        <v>7.1599999999999997E-2</v>
      </c>
      <c r="C75" s="18">
        <v>189494113.63418001</v>
      </c>
      <c r="D75" s="18">
        <v>124429348.7829835</v>
      </c>
      <c r="E75" s="18">
        <v>12999462.886465447</v>
      </c>
      <c r="F75" s="18">
        <v>50925460.281479277</v>
      </c>
      <c r="G75" s="18">
        <v>1520849.993064428</v>
      </c>
      <c r="H75" s="18">
        <v>110487419.84181951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S75" s="32">
        <f>ROUND(S74+('I2 CBA Inputs'!$H$9-'I2 CBA Inputs'!$G$9)/100,3)</f>
        <v>1.0549999999999999</v>
      </c>
      <c r="T75" s="18">
        <v>209478115.20764619</v>
      </c>
      <c r="U75" s="18">
        <v>144800188.67423812</v>
      </c>
      <c r="V75" s="18">
        <v>11032446.727115881</v>
      </c>
      <c r="W75" s="18">
        <v>49946582.169415072</v>
      </c>
      <c r="X75" s="18">
        <v>-204813.83042359186</v>
      </c>
      <c r="Y75" s="18">
        <v>109014957.35212502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</row>
    <row r="76" spans="2:34" x14ac:dyDescent="0.2">
      <c r="B76" s="31">
        <f>ROUND(B75+('I1 General Inputs'!$H$26-'I1 General Inputs'!$G$26)/100,4)</f>
        <v>7.22E-2</v>
      </c>
      <c r="C76" s="18">
        <v>188330795.84565088</v>
      </c>
      <c r="D76" s="18">
        <v>123492690.34778042</v>
      </c>
      <c r="E76" s="18">
        <v>12847198.954731092</v>
      </c>
      <c r="F76" s="18">
        <v>50878526.848304011</v>
      </c>
      <c r="G76" s="18">
        <v>1409970.1756988026</v>
      </c>
      <c r="H76" s="18">
        <v>109794292.01109855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S76" s="32">
        <f>ROUND(S75+('I2 CBA Inputs'!$H$9-'I2 CBA Inputs'!$G$9)/100,3)</f>
        <v>1.06</v>
      </c>
      <c r="T76" s="18">
        <v>208853396.68745005</v>
      </c>
      <c r="U76" s="18">
        <v>144675382.75967523</v>
      </c>
      <c r="V76" s="18">
        <v>10532534.121482588</v>
      </c>
      <c r="W76" s="18">
        <v>49779944.634204</v>
      </c>
      <c r="X76" s="18">
        <v>-592658.33038566203</v>
      </c>
      <c r="Y76" s="18">
        <v>107478679.66218913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</row>
    <row r="77" spans="2:34" x14ac:dyDescent="0.2">
      <c r="B77" s="31">
        <f>ROUND(B76+('I1 General Inputs'!$H$26-'I1 General Inputs'!$G$26)/100,4)</f>
        <v>7.2800000000000004E-2</v>
      </c>
      <c r="C77" s="18">
        <v>187177109.90319598</v>
      </c>
      <c r="D77" s="18">
        <v>122564292.41286078</v>
      </c>
      <c r="E77" s="18">
        <v>12696238.082859676</v>
      </c>
      <c r="F77" s="18">
        <v>50831082.110782623</v>
      </c>
      <c r="G77" s="18">
        <v>1299926.3054412517</v>
      </c>
      <c r="H77" s="18">
        <v>109104687.10965414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S77" s="32">
        <f>ROUND(S76+('I2 CBA Inputs'!$H$9-'I2 CBA Inputs'!$G$9)/100,3)</f>
        <v>1.0649999999999999</v>
      </c>
      <c r="T77" s="18">
        <v>208228678.16725388</v>
      </c>
      <c r="U77" s="18">
        <v>144550576.84511238</v>
      </c>
      <c r="V77" s="18">
        <v>10032621.515849296</v>
      </c>
      <c r="W77" s="18">
        <v>49613307.098992899</v>
      </c>
      <c r="X77" s="18">
        <v>-980502.83034773404</v>
      </c>
      <c r="Y77" s="18">
        <v>105942401.97225317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</row>
    <row r="78" spans="2:34" x14ac:dyDescent="0.2">
      <c r="B78" s="31">
        <f>ROUND(B77+('I1 General Inputs'!$H$26-'I1 General Inputs'!$G$26)/100,4)</f>
        <v>7.3400000000000007E-2</v>
      </c>
      <c r="C78" s="18">
        <v>186032951.08692312</v>
      </c>
      <c r="D78" s="18">
        <v>121644068.15348631</v>
      </c>
      <c r="E78" s="18">
        <v>12546563.277105032</v>
      </c>
      <c r="F78" s="18">
        <v>50783133.252046861</v>
      </c>
      <c r="G78" s="18">
        <v>1190708.7235312741</v>
      </c>
      <c r="H78" s="18">
        <v>108418576.04739076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S78" s="32">
        <f>ROUND(S77+('I2 CBA Inputs'!$H$9-'I2 CBA Inputs'!$G$9)/100,3)</f>
        <v>1.07</v>
      </c>
      <c r="T78" s="18">
        <v>207603959.64705777</v>
      </c>
      <c r="U78" s="18">
        <v>144425770.93054953</v>
      </c>
      <c r="V78" s="18">
        <v>9532708.9102160186</v>
      </c>
      <c r="W78" s="18">
        <v>49446669.563781813</v>
      </c>
      <c r="X78" s="18">
        <v>-1368347.3303098024</v>
      </c>
      <c r="Y78" s="18">
        <v>104406124.28231719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</row>
    <row r="79" spans="2:34" x14ac:dyDescent="0.2">
      <c r="B79" s="31">
        <f>ROUND(B78+('I1 General Inputs'!$H$26-'I1 General Inputs'!$G$26)/100,4)</f>
        <v>7.3999999999999996E-2</v>
      </c>
      <c r="C79" s="18">
        <v>184898216.0558854</v>
      </c>
      <c r="D79" s="18">
        <v>120731931.79317884</v>
      </c>
      <c r="E79" s="18">
        <v>12398157.83281156</v>
      </c>
      <c r="F79" s="18">
        <v>50734687.395835429</v>
      </c>
      <c r="G79" s="18">
        <v>1082307.9366792361</v>
      </c>
      <c r="H79" s="18">
        <v>107735930.20821941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S79" s="32">
        <f>ROUND(S78+('I2 CBA Inputs'!$H$9-'I2 CBA Inputs'!$G$9)/100,3)</f>
        <v>1.075</v>
      </c>
      <c r="T79" s="18">
        <v>206979241.12686157</v>
      </c>
      <c r="U79" s="18">
        <v>144300965.01598665</v>
      </c>
      <c r="V79" s="18">
        <v>9032796.3045827318</v>
      </c>
      <c r="W79" s="18">
        <v>49280032.028570704</v>
      </c>
      <c r="X79" s="18">
        <v>-1756191.8302718692</v>
      </c>
      <c r="Y79" s="18">
        <v>102869846.59238125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</row>
    <row r="80" spans="2:34" x14ac:dyDescent="0.2">
      <c r="B80" s="31">
        <f>ROUND(B79+('I1 General Inputs'!$H$26-'I1 General Inputs'!$G$26)/100,4)</f>
        <v>7.46E-2</v>
      </c>
      <c r="C80" s="18">
        <v>183772802.82768223</v>
      </c>
      <c r="D80" s="18">
        <v>119827798.58966613</v>
      </c>
      <c r="E80" s="18">
        <v>12251005.329125099</v>
      </c>
      <c r="F80" s="18">
        <v>50685751.606609531</v>
      </c>
      <c r="G80" s="18">
        <v>974714.61392506107</v>
      </c>
      <c r="H80" s="18">
        <v>107056721.44050184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S80" s="32">
        <f>ROUND(S79+('I2 CBA Inputs'!$H$9-'I2 CBA Inputs'!$G$9)/100,3)</f>
        <v>1.08</v>
      </c>
      <c r="T80" s="18">
        <v>206354522.60666546</v>
      </c>
      <c r="U80" s="18">
        <v>144176159.1014238</v>
      </c>
      <c r="V80" s="18">
        <v>8532883.6989494562</v>
      </c>
      <c r="W80" s="18">
        <v>49113394.493359603</v>
      </c>
      <c r="X80" s="18">
        <v>-2144036.3302339446</v>
      </c>
      <c r="Y80" s="18">
        <v>101333568.9024453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0</v>
      </c>
      <c r="AH80" s="18">
        <v>0</v>
      </c>
    </row>
    <row r="81" spans="2:34" x14ac:dyDescent="0.2">
      <c r="B81" s="31">
        <f>ROUND(B80+('I1 General Inputs'!$H$26-'I1 General Inputs'!$G$26)/100,4)</f>
        <v>7.5200000000000003E-2</v>
      </c>
      <c r="C81" s="18">
        <v>182656610.75837973</v>
      </c>
      <c r="D81" s="18">
        <v>118931584.82102956</v>
      </c>
      <c r="E81" s="18">
        <v>12105089.623801215</v>
      </c>
      <c r="F81" s="18">
        <v>50636332.889678366</v>
      </c>
      <c r="G81" s="18">
        <v>867919.58355637954</v>
      </c>
      <c r="H81" s="18">
        <v>106380922.04768364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S81" s="32">
        <f>ROUND(S80+('I2 CBA Inputs'!$H$9-'I2 CBA Inputs'!$G$9)/100,3)</f>
        <v>1.085</v>
      </c>
      <c r="T81" s="18">
        <v>205729804.08646926</v>
      </c>
      <c r="U81" s="18">
        <v>144051353.18686092</v>
      </c>
      <c r="V81" s="18">
        <v>8032971.0933161611</v>
      </c>
      <c r="W81" s="18">
        <v>48946756.958148524</v>
      </c>
      <c r="X81" s="18">
        <v>-2531880.8301960025</v>
      </c>
      <c r="Y81" s="18">
        <v>99797291.212509409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</row>
    <row r="82" spans="2:34" x14ac:dyDescent="0.2">
      <c r="B82" s="31">
        <f>ROUND(B81+('I1 General Inputs'!$H$26-'I1 General Inputs'!$G$26)/100,4)</f>
        <v>7.5800000000000006E-2</v>
      </c>
      <c r="C82" s="18">
        <v>181549540.52275392</v>
      </c>
      <c r="D82" s="18">
        <v>118043207.7720547</v>
      </c>
      <c r="E82" s="18">
        <v>11960394.848110024</v>
      </c>
      <c r="F82" s="18">
        <v>50586438.191333495</v>
      </c>
      <c r="G82" s="18">
        <v>761913.83008587768</v>
      </c>
      <c r="H82" s="18">
        <v>105708504.77911811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S82" s="32">
        <f>ROUND(S81+('I2 CBA Inputs'!$H$9-'I2 CBA Inputs'!$G$9)/100,3)</f>
        <v>1.0900000000000001</v>
      </c>
      <c r="T82" s="18">
        <v>205105085.56627312</v>
      </c>
      <c r="U82" s="18">
        <v>143926547.27229804</v>
      </c>
      <c r="V82" s="18">
        <v>7533058.487682879</v>
      </c>
      <c r="W82" s="18">
        <v>48780119.422937416</v>
      </c>
      <c r="X82" s="18">
        <v>-2919725.3301580725</v>
      </c>
      <c r="Y82" s="18">
        <v>98261013.522573441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</row>
    <row r="83" spans="2:34" x14ac:dyDescent="0.2">
      <c r="B83" s="31">
        <f>ROUND(B82+('I1 General Inputs'!$H$26-'I1 General Inputs'!$G$26)/100,4)</f>
        <v>7.6399999999999996E-2</v>
      </c>
      <c r="C83" s="18">
        <v>180451494.09484825</v>
      </c>
      <c r="D83" s="18">
        <v>117162585.720782</v>
      </c>
      <c r="E83" s="18">
        <v>11816905.401835356</v>
      </c>
      <c r="F83" s="18">
        <v>50536074.398992926</v>
      </c>
      <c r="G83" s="18">
        <v>656688.49128623866</v>
      </c>
      <c r="H83" s="18">
        <v>105039442.82107589</v>
      </c>
      <c r="I83" s="18">
        <v>0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S83" s="32">
        <f>ROUND(S82+('I2 CBA Inputs'!$H$9-'I2 CBA Inputs'!$G$9)/100,3)</f>
        <v>1.095</v>
      </c>
      <c r="T83" s="18">
        <v>204480367.04607695</v>
      </c>
      <c r="U83" s="18">
        <v>143801741.35773516</v>
      </c>
      <c r="V83" s="18">
        <v>7033145.8820495829</v>
      </c>
      <c r="W83" s="18">
        <v>48613481.887726329</v>
      </c>
      <c r="X83" s="18">
        <v>-3307569.830120143</v>
      </c>
      <c r="Y83" s="18">
        <v>96724735.832637489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</row>
    <row r="84" spans="2:34" x14ac:dyDescent="0.2">
      <c r="B84" s="31">
        <f>ROUND(B83+('I1 General Inputs'!$H$26-'I1 General Inputs'!$G$26)/100,4)</f>
        <v>7.6999999999999999E-2</v>
      </c>
      <c r="C84" s="18">
        <v>179362374.72883412</v>
      </c>
      <c r="D84" s="18">
        <v>116289637.9252474</v>
      </c>
      <c r="E84" s="18">
        <v>11674605.94836605</v>
      </c>
      <c r="F84" s="18">
        <v>50485248.341353662</v>
      </c>
      <c r="G84" s="18">
        <v>552234.85528118128</v>
      </c>
      <c r="H84" s="18">
        <v>104373709.7879311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S84" s="32">
        <f>ROUND(S83+('I2 CBA Inputs'!$H$9-'I2 CBA Inputs'!$G$9)/100,3)</f>
        <v>1.1000000000000001</v>
      </c>
      <c r="T84" s="18">
        <v>203855648.52588084</v>
      </c>
      <c r="U84" s="18">
        <v>143676935.44317234</v>
      </c>
      <c r="V84" s="18">
        <v>6533233.2764163092</v>
      </c>
      <c r="W84" s="18">
        <v>48446844.352515228</v>
      </c>
      <c r="X84" s="18">
        <v>-3695414.3300822079</v>
      </c>
      <c r="Y84" s="18">
        <v>95188458.142701551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</row>
    <row r="85" spans="2:34" x14ac:dyDescent="0.2">
      <c r="B85" s="31">
        <f>ROUND(B84+('I1 General Inputs'!$H$26-'I1 General Inputs'!$G$26)/100,4)</f>
        <v>7.7600000000000002E-2</v>
      </c>
      <c r="C85" s="18">
        <v>178282086.94018045</v>
      </c>
      <c r="D85" s="18">
        <v>115424284.6104202</v>
      </c>
      <c r="E85" s="18">
        <v>11533481.409878705</v>
      </c>
      <c r="F85" s="18">
        <v>50433966.788552597</v>
      </c>
      <c r="G85" s="18">
        <v>448544.35769249499</v>
      </c>
      <c r="H85" s="18">
        <v>103711279.71353042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S85" s="32">
        <f>ROUND(S84+('I2 CBA Inputs'!$H$9-'I2 CBA Inputs'!$G$9)/100,3)</f>
        <v>1.105</v>
      </c>
      <c r="T85" s="18">
        <v>203230930.0056847</v>
      </c>
      <c r="U85" s="18">
        <v>143552129.52860945</v>
      </c>
      <c r="V85" s="18">
        <v>6033320.6707830131</v>
      </c>
      <c r="W85" s="18">
        <v>48280206.817304157</v>
      </c>
      <c r="X85" s="18">
        <v>-4083258.8300442747</v>
      </c>
      <c r="Y85" s="18">
        <v>93652180.452765629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</row>
    <row r="86" spans="2:34" x14ac:dyDescent="0.2">
      <c r="B86" s="31">
        <f>ROUND(B85+('I1 General Inputs'!$H$26-'I1 General Inputs'!$G$26)/100,4)</f>
        <v>7.8200000000000006E-2</v>
      </c>
      <c r="C86" s="18">
        <v>177210536.4871175</v>
      </c>
      <c r="D86" s="18">
        <v>114566446.95532659</v>
      </c>
      <c r="E86" s="18">
        <v>11393516.962609077</v>
      </c>
      <c r="F86" s="18">
        <v>50382236.452335827</v>
      </c>
      <c r="G86" s="18">
        <v>345608.57884115272</v>
      </c>
      <c r="H86" s="18">
        <v>103052127.04273231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S86" s="32">
        <f>ROUND(S85+('I2 CBA Inputs'!$H$9-'I2 CBA Inputs'!$G$9)/100,3)</f>
        <v>1.1100000000000001</v>
      </c>
      <c r="T86" s="18">
        <v>202606211.4854885</v>
      </c>
      <c r="U86" s="18">
        <v>143427323.6140466</v>
      </c>
      <c r="V86" s="18">
        <v>5533408.0651497385</v>
      </c>
      <c r="W86" s="18">
        <v>48113569.282093041</v>
      </c>
      <c r="X86" s="18">
        <v>-4471103.3300063461</v>
      </c>
      <c r="Y86" s="18">
        <v>92115902.762829691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</row>
    <row r="87" spans="2:34" x14ac:dyDescent="0.2">
      <c r="B87" s="31">
        <f>ROUND(B86+('I1 General Inputs'!$H$26-'I1 General Inputs'!$G$26)/100,4)</f>
        <v>7.8799999999999995E-2</v>
      </c>
      <c r="C87" s="18">
        <v>176147630.35239735</v>
      </c>
      <c r="D87" s="18">
        <v>113716047.08036241</v>
      </c>
      <c r="E87" s="18">
        <v>11254698.032211632</v>
      </c>
      <c r="F87" s="18">
        <v>50330063.98623617</v>
      </c>
      <c r="G87" s="18">
        <v>243419.24100207124</v>
      </c>
      <c r="H87" s="18">
        <v>102396226.62311999</v>
      </c>
      <c r="I87" s="18">
        <v>0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S87" s="32">
        <f>ROUND(S86+('I2 CBA Inputs'!$H$9-'I2 CBA Inputs'!$G$9)/100,3)</f>
        <v>1.115</v>
      </c>
      <c r="T87" s="18">
        <v>201981492.96529239</v>
      </c>
      <c r="U87" s="18">
        <v>143302517.69948372</v>
      </c>
      <c r="V87" s="18">
        <v>5033495.4595164564</v>
      </c>
      <c r="W87" s="18">
        <v>47946931.746881932</v>
      </c>
      <c r="X87" s="18">
        <v>-4858947.8299684078</v>
      </c>
      <c r="Y87" s="18">
        <v>90579625.072893724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</row>
    <row r="88" spans="2:34" x14ac:dyDescent="0.2">
      <c r="B88" s="31">
        <f>ROUND(B87+('I1 General Inputs'!$H$26-'I1 General Inputs'!$G$26)/100,4)</f>
        <v>7.9399999999999998E-2</v>
      </c>
      <c r="C88" s="18">
        <v>175093276.72533739</v>
      </c>
      <c r="D88" s="18">
        <v>112873008.03478509</v>
      </c>
      <c r="E88" s="18">
        <v>11117010.289204216</v>
      </c>
      <c r="F88" s="18">
        <v>50277455.985757321</v>
      </c>
      <c r="G88" s="18">
        <v>141968.20571094204</v>
      </c>
      <c r="H88" s="18">
        <v>101743553.69687788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S88" s="32">
        <f>ROUND(S87+('I2 CBA Inputs'!$H$9-'I2 CBA Inputs'!$G$9)/100,3)</f>
        <v>1.1200000000000001</v>
      </c>
      <c r="T88" s="18">
        <v>201356774.44509622</v>
      </c>
      <c r="U88" s="18">
        <v>143177711.78492084</v>
      </c>
      <c r="V88" s="18">
        <v>4533582.8538831677</v>
      </c>
      <c r="W88" s="18">
        <v>47780294.211670861</v>
      </c>
      <c r="X88" s="18">
        <v>-5246792.3299304778</v>
      </c>
      <c r="Y88" s="18">
        <v>89043347.382957786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</row>
    <row r="89" spans="2:34" x14ac:dyDescent="0.2">
      <c r="B89" s="31">
        <f>ROUND(B88+('I1 General Inputs'!$H$26-'I1 General Inputs'!$G$26)/100,4)</f>
        <v>0.08</v>
      </c>
      <c r="C89" s="18">
        <v>174047384.98415247</v>
      </c>
      <c r="D89" s="18">
        <v>112037253.78438951</v>
      </c>
      <c r="E89" s="18">
        <v>10980439.644497359</v>
      </c>
      <c r="F89" s="18">
        <v>50224418.988566384</v>
      </c>
      <c r="G89" s="18">
        <v>41247.471122586823</v>
      </c>
      <c r="H89" s="18">
        <v>101094083.89283594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S89" s="32">
        <f>ROUND(S88+('I2 CBA Inputs'!$H$9-'I2 CBA Inputs'!$G$9)/100,3)</f>
        <v>1.125</v>
      </c>
      <c r="T89" s="18">
        <v>200732055.92490008</v>
      </c>
      <c r="U89" s="18">
        <v>143052905.87035799</v>
      </c>
      <c r="V89" s="18">
        <v>4033670.2482498838</v>
      </c>
      <c r="W89" s="18">
        <v>47613656.676459752</v>
      </c>
      <c r="X89" s="18">
        <v>-5634636.8298925469</v>
      </c>
      <c r="Y89" s="18">
        <v>87507069.693021879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</row>
    <row r="90" spans="2:34" x14ac:dyDescent="0.2">
      <c r="B90" s="31">
        <f>ROUND(B89+('I1 General Inputs'!$H$26-'I1 General Inputs'!$G$26)/100,4)</f>
        <v>8.0600000000000005E-2</v>
      </c>
      <c r="C90" s="18">
        <v>173009865.67856464</v>
      </c>
      <c r="D90" s="18">
        <v>111208709.19936131</v>
      </c>
      <c r="E90" s="18">
        <v>10844972.24500693</v>
      </c>
      <c r="F90" s="18">
        <v>50170959.474692993</v>
      </c>
      <c r="G90" s="18">
        <v>-58750.830580038783</v>
      </c>
      <c r="H90" s="18">
        <v>100447793.21867234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S90" s="32">
        <f>ROUND(S89+('I2 CBA Inputs'!$H$9-'I2 CBA Inputs'!$G$9)/100,3)</f>
        <v>1.1299999999999999</v>
      </c>
      <c r="T90" s="18">
        <v>200107337.40470389</v>
      </c>
      <c r="U90" s="18">
        <v>142928099.95579514</v>
      </c>
      <c r="V90" s="18">
        <v>3533757.642616591</v>
      </c>
      <c r="W90" s="18">
        <v>47447019.141248673</v>
      </c>
      <c r="X90" s="18">
        <v>-6022481.3298546206</v>
      </c>
      <c r="Y90" s="18">
        <v>85970792.003085971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</row>
    <row r="91" spans="2:34" x14ac:dyDescent="0.2">
      <c r="B91" s="31">
        <f>ROUND(B90+('I1 General Inputs'!$H$26-'I1 General Inputs'!$G$26)/100,4)</f>
        <v>8.1199999999999994E-2</v>
      </c>
      <c r="C91" s="18">
        <v>171980630.51268357</v>
      </c>
      <c r="D91" s="18">
        <v>110387300.04230227</v>
      </c>
      <c r="E91" s="18">
        <v>10710594.469346723</v>
      </c>
      <c r="F91" s="18">
        <v>50117083.866735384</v>
      </c>
      <c r="G91" s="18">
        <v>-158034.43572798965</v>
      </c>
      <c r="H91" s="18">
        <v>99804658.053274155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S91" s="32">
        <f>ROUND(S90+('I2 CBA Inputs'!$H$9-'I2 CBA Inputs'!$G$9)/100,3)</f>
        <v>1.135</v>
      </c>
      <c r="T91" s="18">
        <v>199482618.88450778</v>
      </c>
      <c r="U91" s="18">
        <v>142803294.04123229</v>
      </c>
      <c r="V91" s="18">
        <v>3033845.0369833126</v>
      </c>
      <c r="W91" s="18">
        <v>47280381.606037565</v>
      </c>
      <c r="X91" s="18">
        <v>-6410325.8298166804</v>
      </c>
      <c r="Y91" s="18">
        <v>84434514.313149959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</row>
    <row r="92" spans="2:34" x14ac:dyDescent="0.2">
      <c r="B92" s="31">
        <f>ROUND(B91+('I1 General Inputs'!$H$26-'I1 General Inputs'!$G$26)/100,4)</f>
        <v>8.1799999999999998E-2</v>
      </c>
      <c r="C92" s="18">
        <v>170959592.32816064</v>
      </c>
      <c r="D92" s="18">
        <v>109572952.95643063</v>
      </c>
      <c r="E92" s="18">
        <v>10577292.9236017</v>
      </c>
      <c r="F92" s="18">
        <v>50062798.530072726</v>
      </c>
      <c r="G92" s="18">
        <v>-256610.95165935019</v>
      </c>
      <c r="H92" s="18">
        <v>99164655.139252603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S92" s="32">
        <f>ROUND(S91+('I2 CBA Inputs'!$H$9-'I2 CBA Inputs'!$G$9)/100,3)</f>
        <v>1.1399999999999999</v>
      </c>
      <c r="T92" s="18">
        <v>198857900.36431158</v>
      </c>
      <c r="U92" s="18">
        <v>142678488.12666941</v>
      </c>
      <c r="V92" s="18">
        <v>2533932.4313500198</v>
      </c>
      <c r="W92" s="18">
        <v>47113744.070826486</v>
      </c>
      <c r="X92" s="18">
        <v>-6798170.3297787448</v>
      </c>
      <c r="Y92" s="18">
        <v>82898236.623214006</v>
      </c>
      <c r="Z92" s="18">
        <v>0</v>
      </c>
      <c r="AA92" s="18">
        <v>0</v>
      </c>
      <c r="AB92" s="18">
        <v>0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</row>
    <row r="93" spans="2:34" x14ac:dyDescent="0.2">
      <c r="B93" s="31">
        <f>ROUND(B92+('I1 General Inputs'!$H$26-'I1 General Inputs'!$G$26)/100,4)</f>
        <v>8.2400000000000001E-2</v>
      </c>
      <c r="C93" s="18">
        <v>169946665.08760792</v>
      </c>
      <c r="D93" s="18">
        <v>108765595.45395121</v>
      </c>
      <c r="E93" s="18">
        <v>10445054.437179249</v>
      </c>
      <c r="F93" s="18">
        <v>50008109.77308438</v>
      </c>
      <c r="G93" s="18">
        <v>-354487.85916490154</v>
      </c>
      <c r="H93" s="18">
        <v>98527761.575610831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S93" s="32">
        <f>ROUND(S92+('I2 CBA Inputs'!$H$9-'I2 CBA Inputs'!$G$9)/100,3)</f>
        <v>1.145</v>
      </c>
      <c r="T93" s="18">
        <v>198233181.84411547</v>
      </c>
      <c r="U93" s="18">
        <v>142553682.21210656</v>
      </c>
      <c r="V93" s="18">
        <v>2034019.8257167414</v>
      </c>
      <c r="W93" s="18">
        <v>46947106.535615385</v>
      </c>
      <c r="X93" s="18">
        <v>-7186014.8297408167</v>
      </c>
      <c r="Y93" s="18">
        <v>81361958.933278114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</row>
    <row r="94" spans="2:34" x14ac:dyDescent="0.2">
      <c r="B94" s="31">
        <f>ROUND(B93+('I1 General Inputs'!$H$26-'I1 General Inputs'!$G$26)/100,4)</f>
        <v>8.3000000000000004E-2</v>
      </c>
      <c r="C94" s="18">
        <v>168941763.85827407</v>
      </c>
      <c r="D94" s="18">
        <v>107965155.90458985</v>
      </c>
      <c r="E94" s="18">
        <v>10313866.058736909</v>
      </c>
      <c r="F94" s="18">
        <v>49953023.847374558</v>
      </c>
      <c r="G94" s="18">
        <v>-451672.51488728932</v>
      </c>
      <c r="H94" s="18">
        <v>97893954.810557902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S94" s="32">
        <f>ROUND(S93+('I2 CBA Inputs'!$H$9-'I2 CBA Inputs'!$G$9)/100,3)</f>
        <v>1.1499999999999999</v>
      </c>
      <c r="T94" s="18">
        <v>197608463.32391933</v>
      </c>
      <c r="U94" s="18">
        <v>142428876.29754367</v>
      </c>
      <c r="V94" s="18">
        <v>1534107.2200834469</v>
      </c>
      <c r="W94" s="18">
        <v>46780469.000404298</v>
      </c>
      <c r="X94" s="18">
        <v>-7573859.3297028802</v>
      </c>
      <c r="Y94" s="18">
        <v>79825681.243342146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</row>
    <row r="95" spans="2:34" x14ac:dyDescent="0.2">
      <c r="B95" s="31">
        <f>ROUND(B94+('I1 General Inputs'!$H$26-'I1 General Inputs'!$G$26)/100,4)</f>
        <v>8.3599999999999994E-2</v>
      </c>
      <c r="C95" s="18">
        <v>167944804.7959812</v>
      </c>
      <c r="D95" s="18">
        <v>107171563.52429488</v>
      </c>
      <c r="E95" s="18">
        <v>10183715.052185725</v>
      </c>
      <c r="F95" s="18">
        <v>49897546.948003374</v>
      </c>
      <c r="G95" s="18">
        <v>-548172.15367409436</v>
      </c>
      <c r="H95" s="18">
        <v>97263212.634470344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S95" s="32">
        <f>ROUND(S94+('I2 CBA Inputs'!$H$9-'I2 CBA Inputs'!$G$9)/100,3)</f>
        <v>1.155</v>
      </c>
      <c r="T95" s="18">
        <v>196983744.80372313</v>
      </c>
      <c r="U95" s="18">
        <v>142304070.38298082</v>
      </c>
      <c r="V95" s="18">
        <v>1034194.6144501686</v>
      </c>
      <c r="W95" s="18">
        <v>46613831.46519319</v>
      </c>
      <c r="X95" s="18">
        <v>-7961703.8296649521</v>
      </c>
      <c r="Y95" s="18">
        <v>78289403.553406209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</row>
    <row r="96" spans="2:34" x14ac:dyDescent="0.2">
      <c r="B96" s="31">
        <f>ROUND(B95+('I1 General Inputs'!$H$26-'I1 General Inputs'!$G$26)/100,4)</f>
        <v>8.4199999999999997E-2</v>
      </c>
      <c r="C96" s="18">
        <v>166955705.12931076</v>
      </c>
      <c r="D96" s="18">
        <v>106384748.36409903</v>
      </c>
      <c r="E96" s="18">
        <v>10054588.892767262</v>
      </c>
      <c r="F96" s="18">
        <v>49841685.213723153</v>
      </c>
      <c r="G96" s="18">
        <v>-643993.89088614087</v>
      </c>
      <c r="H96" s="18">
        <v>96635513.172995031</v>
      </c>
      <c r="I96" s="18">
        <v>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S96" s="32">
        <f>ROUND(S95+('I2 CBA Inputs'!$H$9-'I2 CBA Inputs'!$G$9)/100,3)</f>
        <v>1.1599999999999999</v>
      </c>
      <c r="T96" s="18">
        <v>196359026.28352702</v>
      </c>
      <c r="U96" s="18">
        <v>142179264.46841797</v>
      </c>
      <c r="V96" s="18">
        <v>534282.00881687598</v>
      </c>
      <c r="W96" s="18">
        <v>46447193.929982089</v>
      </c>
      <c r="X96" s="18">
        <v>-8349548.3296270166</v>
      </c>
      <c r="Y96" s="18">
        <v>76753125.863470227</v>
      </c>
      <c r="Z96" s="18">
        <v>0</v>
      </c>
      <c r="AA96" s="18">
        <v>0</v>
      </c>
      <c r="AB96" s="18">
        <v>0</v>
      </c>
      <c r="AC96" s="18">
        <v>0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</row>
    <row r="97" spans="2:34" x14ac:dyDescent="0.2">
      <c r="B97" s="31">
        <f>ROUND(B96+('I1 General Inputs'!$H$26-'I1 General Inputs'!$G$26)/100,4)</f>
        <v>8.48E-2</v>
      </c>
      <c r="C97" s="18">
        <v>165974383.14404058</v>
      </c>
      <c r="D97" s="18">
        <v>105604641.29914227</v>
      </c>
      <c r="E97" s="18">
        <v>9926475.2632036638</v>
      </c>
      <c r="F97" s="18">
        <v>49785444.727220163</v>
      </c>
      <c r="G97" s="18">
        <v>-739144.724661496</v>
      </c>
      <c r="H97" s="18">
        <v>96010834.880293414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S97" s="32">
        <f>ROUND(S96+('I2 CBA Inputs'!$H$9-'I2 CBA Inputs'!$G$9)/100,3)</f>
        <v>1.165</v>
      </c>
      <c r="T97" s="18">
        <v>195734307.76333085</v>
      </c>
      <c r="U97" s="18">
        <v>142054458.55385509</v>
      </c>
      <c r="V97" s="18">
        <v>34369.403183597431</v>
      </c>
      <c r="W97" s="18">
        <v>46280556.39477101</v>
      </c>
      <c r="X97" s="18">
        <v>-8737392.8295890801</v>
      </c>
      <c r="Y97" s="18">
        <v>75216848.173534349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</row>
    <row r="98" spans="2:34" x14ac:dyDescent="0.2">
      <c r="B98" s="31">
        <f>ROUND(B97+('I1 General Inputs'!$H$26-'I1 General Inputs'!$G$26)/100,4)</f>
        <v>8.5400000000000004E-2</v>
      </c>
      <c r="C98" s="18">
        <v>165000758.16782132</v>
      </c>
      <c r="D98" s="18">
        <v>104831174.01784924</v>
      </c>
      <c r="E98" s="18">
        <v>9799362.0499181617</v>
      </c>
      <c r="F98" s="18">
        <v>49728831.515361927</v>
      </c>
      <c r="G98" s="18">
        <v>-833631.53813659353</v>
      </c>
      <c r="H98" s="18">
        <v>95389156.53242071</v>
      </c>
      <c r="I98" s="18">
        <v>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S98" s="32">
        <f>ROUND(S97+('I2 CBA Inputs'!$H$9-'I2 CBA Inputs'!$G$9)/100,3)</f>
        <v>1.17</v>
      </c>
      <c r="T98" s="18">
        <v>195109589.24313471</v>
      </c>
      <c r="U98" s="18">
        <v>141929652.63929221</v>
      </c>
      <c r="V98" s="18">
        <v>-465543.20244969515</v>
      </c>
      <c r="W98" s="18">
        <v>46113918.859559901</v>
      </c>
      <c r="X98" s="18">
        <v>-9125237.3295511547</v>
      </c>
      <c r="Y98" s="18">
        <v>73680570.483598396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</row>
    <row r="99" spans="2:34" x14ac:dyDescent="0.2">
      <c r="B99" s="31">
        <f>ROUND(B98+('I1 General Inputs'!$H$26-'I1 General Inputs'!$G$26)/100,4)</f>
        <v>8.5999999999999993E-2</v>
      </c>
      <c r="C99" s="18">
        <v>164034750.55509654</v>
      </c>
      <c r="D99" s="18">
        <v>104064279.01126289</v>
      </c>
      <c r="E99" s="18">
        <v>9673237.3393261265</v>
      </c>
      <c r="F99" s="18">
        <v>49671851.549448721</v>
      </c>
      <c r="G99" s="18">
        <v>-927461.10162466264</v>
      </c>
      <c r="H99" s="18">
        <v>94770457.220840901</v>
      </c>
      <c r="I99" s="18">
        <v>0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S99" s="32">
        <f>ROUND(S98+('I2 CBA Inputs'!$H$9-'I2 CBA Inputs'!$G$9)/100,3)</f>
        <v>1.175</v>
      </c>
      <c r="T99" s="18">
        <v>194484870.72293854</v>
      </c>
      <c r="U99" s="18">
        <v>141804846.72472936</v>
      </c>
      <c r="V99" s="18">
        <v>-965455.8080829737</v>
      </c>
      <c r="W99" s="18">
        <v>45947281.324348792</v>
      </c>
      <c r="X99" s="18">
        <v>-9513081.8295132257</v>
      </c>
      <c r="Y99" s="18">
        <v>72144292.793662429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</row>
    <row r="100" spans="2:34" x14ac:dyDescent="0.2">
      <c r="B100" s="31">
        <f>ROUND(B99+('I1 General Inputs'!$H$26-'I1 General Inputs'!$G$26)/100,4)</f>
        <v>8.6599999999999996E-2</v>
      </c>
      <c r="C100" s="18">
        <v>163076281.67225879</v>
      </c>
      <c r="D100" s="18">
        <v>103303889.56253131</v>
      </c>
      <c r="E100" s="18">
        <v>9548089.4141946249</v>
      </c>
      <c r="F100" s="18">
        <v>49614510.745470628</v>
      </c>
      <c r="G100" s="18">
        <v>-1020640.0747525212</v>
      </c>
      <c r="H100" s="18">
        <v>94154716.346073821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S100" s="32">
        <f>ROUND(S99+('I2 CBA Inputs'!$H$9-'I2 CBA Inputs'!$G$9)/100,3)</f>
        <v>1.18</v>
      </c>
      <c r="T100" s="18">
        <v>193860152.2027424</v>
      </c>
      <c r="U100" s="18">
        <v>141680040.81016651</v>
      </c>
      <c r="V100" s="18">
        <v>-1465368.4137162662</v>
      </c>
      <c r="W100" s="18">
        <v>45780643.789137714</v>
      </c>
      <c r="X100" s="18">
        <v>-9900926.3294752818</v>
      </c>
      <c r="Y100" s="18">
        <v>70608015.103726491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</row>
    <row r="101" spans="2:34" x14ac:dyDescent="0.2">
      <c r="B101" s="31">
        <f>ROUND(B100+('I1 General Inputs'!$H$26-'I1 General Inputs'!$G$26)/100,4)</f>
        <v>8.72E-2</v>
      </c>
      <c r="C101" s="18">
        <v>162125273.88303417</v>
      </c>
      <c r="D101" s="18">
        <v>102549939.73654133</v>
      </c>
      <c r="E101" s="18">
        <v>9423906.7500688266</v>
      </c>
      <c r="F101" s="18">
        <v>49556814.964368723</v>
      </c>
      <c r="G101" s="18">
        <v>-1113175.008556559</v>
      </c>
      <c r="H101" s="18">
        <v>93541913.611470059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S101" s="32">
        <f>ROUND(S100+('I2 CBA Inputs'!$H$9-'I2 CBA Inputs'!$G$9)/100,3)</f>
        <v>1.1850000000000001</v>
      </c>
      <c r="T101" s="18">
        <v>193235433.68254626</v>
      </c>
      <c r="U101" s="18">
        <v>141555234.89560363</v>
      </c>
      <c r="V101" s="18">
        <v>-1965281.0193495448</v>
      </c>
      <c r="W101" s="18">
        <v>45614006.253926612</v>
      </c>
      <c r="X101" s="18">
        <v>-10288770.829437355</v>
      </c>
      <c r="Y101" s="18">
        <v>69071737.413790569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</row>
    <row r="102" spans="2:34" x14ac:dyDescent="0.2">
      <c r="B102" s="31">
        <f>ROUND(B101+('I1 General Inputs'!$H$26-'I1 General Inputs'!$G$26)/100,4)</f>
        <v>8.7800000000000003E-2</v>
      </c>
      <c r="C102" s="18">
        <v>161181650.53409854</v>
      </c>
      <c r="D102" s="18">
        <v>101802364.3697024</v>
      </c>
      <c r="E102" s="18">
        <v>9300678.0117650665</v>
      </c>
      <c r="F102" s="18">
        <v>49498770.012300432</v>
      </c>
      <c r="G102" s="18">
        <v>-1205072.3475389194</v>
      </c>
      <c r="H102" s="18">
        <v>92932029.017113119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S102" s="32">
        <f>ROUND(S101+('I2 CBA Inputs'!$H$9-'I2 CBA Inputs'!$G$9)/100,3)</f>
        <v>1.19</v>
      </c>
      <c r="T102" s="18">
        <v>192610715.16235009</v>
      </c>
      <c r="U102" s="18">
        <v>141430428.98104075</v>
      </c>
      <c r="V102" s="18">
        <v>-2465193.6249828376</v>
      </c>
      <c r="W102" s="18">
        <v>45447368.718715526</v>
      </c>
      <c r="X102" s="18">
        <v>-10676615.329399426</v>
      </c>
      <c r="Y102" s="18">
        <v>67535459.723854631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</row>
    <row r="103" spans="2:34" x14ac:dyDescent="0.2">
      <c r="B103" s="31">
        <f>ROUND(B102+('I1 General Inputs'!$H$26-'I1 General Inputs'!$G$26)/100,4)</f>
        <v>8.8400000000000006E-2</v>
      </c>
      <c r="C103" s="18">
        <v>160245335.94091797</v>
      </c>
      <c r="D103" s="18">
        <v>101061099.05987574</v>
      </c>
      <c r="E103" s="18">
        <v>9178392.049928546</v>
      </c>
      <c r="F103" s="18">
        <v>49440381.640909784</v>
      </c>
      <c r="G103" s="18">
        <v>-1296338.4316839012</v>
      </c>
      <c r="H103" s="18">
        <v>92325042.853846192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S103" s="32">
        <f>ROUND(S102+('I2 CBA Inputs'!$H$9-'I2 CBA Inputs'!$G$9)/100,3)</f>
        <v>1.1950000000000001</v>
      </c>
      <c r="T103" s="18">
        <v>191985996.64215389</v>
      </c>
      <c r="U103" s="18">
        <v>141305623.06647786</v>
      </c>
      <c r="V103" s="18">
        <v>-2965106.230616116</v>
      </c>
      <c r="W103" s="18">
        <v>45280731.183504418</v>
      </c>
      <c r="X103" s="18">
        <v>-11064459.829361489</v>
      </c>
      <c r="Y103" s="18">
        <v>65999182.033918671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</row>
    <row r="104" spans="2:34" x14ac:dyDescent="0.2">
      <c r="B104" s="31">
        <f>ROUND(B103+('I1 General Inputs'!$H$26-'I1 General Inputs'!$G$26)/100,4)</f>
        <v>8.8999999999999996E-2</v>
      </c>
      <c r="C104" s="18">
        <v>159316255.37380695</v>
      </c>
      <c r="D104" s="18">
        <v>100326080.15644424</v>
      </c>
      <c r="E104" s="18">
        <v>9057037.8976544142</v>
      </c>
      <c r="F104" s="18">
        <v>49381655.547600515</v>
      </c>
      <c r="G104" s="18">
        <v>-1386979.4984362186</v>
      </c>
      <c r="H104" s="18">
        <v>91720935.697419062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S104" s="32">
        <f>ROUND(S103+('I2 CBA Inputs'!$H$9-'I2 CBA Inputs'!$G$9)/100,3)</f>
        <v>1.2</v>
      </c>
      <c r="T104" s="18">
        <v>191361278.12195778</v>
      </c>
      <c r="U104" s="18">
        <v>141180817.15191501</v>
      </c>
      <c r="V104" s="18">
        <v>-3465018.8362494083</v>
      </c>
      <c r="W104" s="18">
        <v>45114093.648293316</v>
      </c>
      <c r="X104" s="18">
        <v>-11452304.329323554</v>
      </c>
      <c r="Y104" s="18">
        <v>64462904.343982711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</row>
    <row r="105" spans="2:34" x14ac:dyDescent="0.2">
      <c r="B105" s="31">
        <f>ROUND(B104+('I1 General Inputs'!$H$26-'I1 General Inputs'!$G$26)/100,4)</f>
        <v>8.9599999999999999E-2</v>
      </c>
      <c r="C105" s="18">
        <v>158394335.04420739</v>
      </c>
      <c r="D105" s="18">
        <v>99597244.750525832</v>
      </c>
      <c r="E105" s="18">
        <v>8936604.7671716847</v>
      </c>
      <c r="F105" s="18">
        <v>49322597.375814162</v>
      </c>
      <c r="G105" s="18">
        <v>-1477001.684641277</v>
      </c>
      <c r="H105" s="18">
        <v>91119688.402755812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S105" s="32">
        <f>ROUND(S104+('I2 CBA Inputs'!$H$9-'I2 CBA Inputs'!$G$9)/100,3)</f>
        <v>1.2050000000000001</v>
      </c>
      <c r="T105" s="18">
        <v>190736559.60176158</v>
      </c>
      <c r="U105" s="18">
        <v>141056011.23735213</v>
      </c>
      <c r="V105" s="18">
        <v>-3964931.4418826872</v>
      </c>
      <c r="W105" s="18">
        <v>44947456.113082238</v>
      </c>
      <c r="X105" s="18">
        <v>-11840148.829285625</v>
      </c>
      <c r="Y105" s="18">
        <v>62926626.654046774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</row>
    <row r="106" spans="2:34" x14ac:dyDescent="0.2">
      <c r="B106" s="31">
        <f>ROUND(B105+('I1 General Inputs'!$H$26-'I1 General Inputs'!$G$26)/100,4)</f>
        <v>9.0200000000000002E-2</v>
      </c>
      <c r="C106" s="18">
        <v>157479502.09117886</v>
      </c>
      <c r="D106" s="18">
        <v>98874530.665324584</v>
      </c>
      <c r="E106" s="18">
        <v>8817082.046588337</v>
      </c>
      <c r="F106" s="18">
        <v>49263212.715310976</v>
      </c>
      <c r="G106" s="18">
        <v>-1566411.0284482283</v>
      </c>
      <c r="H106" s="18">
        <v>90521282.098338172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S106" s="32">
        <f>ROUND(S105+('I2 CBA Inputs'!$H$9-'I2 CBA Inputs'!$G$9)/100,3)</f>
        <v>1.21</v>
      </c>
      <c r="T106" s="18">
        <v>190111841.08156547</v>
      </c>
      <c r="U106" s="18">
        <v>140931205.32278931</v>
      </c>
      <c r="V106" s="18">
        <v>-4464844.04751598</v>
      </c>
      <c r="W106" s="18">
        <v>44780818.577871129</v>
      </c>
      <c r="X106" s="18">
        <v>-12227993.329247691</v>
      </c>
      <c r="Y106" s="18">
        <v>61390348.964110866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</row>
    <row r="107" spans="2:34" x14ac:dyDescent="0.2">
      <c r="B107" s="31">
        <f>ROUND(B106+('I1 General Inputs'!$H$26-'I1 General Inputs'!$G$26)/100,4)</f>
        <v>9.0800000000000006E-2</v>
      </c>
      <c r="C107" s="18">
        <v>156571684.56810072</v>
      </c>
      <c r="D107" s="18">
        <v>98157876.446619377</v>
      </c>
      <c r="E107" s="18">
        <v>8698459.2966966201</v>
      </c>
      <c r="F107" s="18">
        <v>49203507.102454536</v>
      </c>
      <c r="G107" s="18">
        <v>-1655213.4711767705</v>
      </c>
      <c r="H107" s="18">
        <v>89925698.180705056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S107" s="32">
        <f>ROUND(S106+('I2 CBA Inputs'!$H$9-'I2 CBA Inputs'!$G$9)/100,3)</f>
        <v>1.2150000000000001</v>
      </c>
      <c r="T107" s="18">
        <v>189487122.5613693</v>
      </c>
      <c r="U107" s="18">
        <v>140806399.40822643</v>
      </c>
      <c r="V107" s="18">
        <v>-4964756.6531492583</v>
      </c>
      <c r="W107" s="18">
        <v>44614181.04266005</v>
      </c>
      <c r="X107" s="18">
        <v>-12615837.829209764</v>
      </c>
      <c r="Y107" s="18">
        <v>59854071.274174914</v>
      </c>
      <c r="Z107" s="18">
        <v>0</v>
      </c>
      <c r="AA107" s="18">
        <v>0</v>
      </c>
      <c r="AB107" s="18">
        <v>0</v>
      </c>
      <c r="AC107" s="18">
        <v>0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</row>
    <row r="108" spans="2:34" x14ac:dyDescent="0.2">
      <c r="B108" s="31">
        <f>ROUND(B107+('I1 General Inputs'!$H$26-'I1 General Inputs'!$G$26)/100,4)</f>
        <v>9.1399999999999995E-2</v>
      </c>
      <c r="C108" s="18">
        <v>155670811.42957819</v>
      </c>
      <c r="D108" s="18">
        <v>97447221.353385091</v>
      </c>
      <c r="E108" s="18">
        <v>8580726.2478372008</v>
      </c>
      <c r="F108" s="18">
        <v>49143486.020499714</v>
      </c>
      <c r="G108" s="18">
        <v>-1743414.8591482476</v>
      </c>
      <c r="H108" s="18">
        <v>89332918.309061766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S108" s="32">
        <f>ROUND(S107+('I2 CBA Inputs'!$H$9-'I2 CBA Inputs'!$G$9)/100,3)</f>
        <v>1.22</v>
      </c>
      <c r="T108" s="18">
        <v>188862404.04117313</v>
      </c>
      <c r="U108" s="18">
        <v>140681593.49366355</v>
      </c>
      <c r="V108" s="18">
        <v>-5464669.2587825507</v>
      </c>
      <c r="W108" s="18">
        <v>44447543.507448941</v>
      </c>
      <c r="X108" s="18">
        <v>-13003682.329171812</v>
      </c>
      <c r="Y108" s="18">
        <v>58317793.584238954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</row>
    <row r="109" spans="2:34" x14ac:dyDescent="0.2">
      <c r="B109" s="31">
        <f>ROUND(B108+('I1 General Inputs'!$H$26-'I1 General Inputs'!$G$26)/100,4)</f>
        <v>9.1999999999999998E-2</v>
      </c>
      <c r="C109" s="18">
        <v>154776812.51855394</v>
      </c>
      <c r="D109" s="18">
        <v>96742505.348548293</v>
      </c>
      <c r="E109" s="18">
        <v>8463872.796821475</v>
      </c>
      <c r="F109" s="18">
        <v>49083154.899883509</v>
      </c>
      <c r="G109" s="18">
        <v>-1831020.945481729</v>
      </c>
      <c r="H109" s="18">
        <v>88742924.400001287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S109" s="32">
        <f>ROUND(S108+('I2 CBA Inputs'!$H$9-'I2 CBA Inputs'!$G$9)/100,3)</f>
        <v>1.2250000000000001</v>
      </c>
      <c r="T109" s="18">
        <v>188237685.52097702</v>
      </c>
      <c r="U109" s="18">
        <v>140556787.5791007</v>
      </c>
      <c r="V109" s="18">
        <v>-5964581.8644158291</v>
      </c>
      <c r="W109" s="18">
        <v>44280905.97223784</v>
      </c>
      <c r="X109" s="18">
        <v>-13391526.829133891</v>
      </c>
      <c r="Y109" s="18">
        <v>56781515.894303009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</row>
    <row r="110" spans="2:34" x14ac:dyDescent="0.2">
      <c r="B110" s="31">
        <f>ROUND(B109+('I1 General Inputs'!$H$26-'I1 General Inputs'!$G$26)/100,4)</f>
        <v>9.2600000000000002E-2</v>
      </c>
      <c r="C110" s="18">
        <v>153889618.55361974</v>
      </c>
      <c r="D110" s="18">
        <v>96043669.089874074</v>
      </c>
      <c r="E110" s="18">
        <v>8347889.0039109522</v>
      </c>
      <c r="F110" s="18">
        <v>49022519.118519261</v>
      </c>
      <c r="G110" s="18">
        <v>-1918037.3918553349</v>
      </c>
      <c r="H110" s="18">
        <v>88155698.622333914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S110" s="32">
        <f>ROUND(S109+('I2 CBA Inputs'!$H$9-'I2 CBA Inputs'!$G$9)/100,3)</f>
        <v>1.23</v>
      </c>
      <c r="T110" s="18">
        <v>187612967.00078085</v>
      </c>
      <c r="U110" s="18">
        <v>140431981.66453782</v>
      </c>
      <c r="V110" s="18">
        <v>-6464494.4700491214</v>
      </c>
      <c r="W110" s="18">
        <v>44114268.437026761</v>
      </c>
      <c r="X110" s="18">
        <v>-13779371.329095956</v>
      </c>
      <c r="Y110" s="18">
        <v>55245238.204367109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</row>
    <row r="111" spans="2:34" x14ac:dyDescent="0.2">
      <c r="B111" s="31">
        <f>ROUND(B110+('I1 General Inputs'!$H$26-'I1 General Inputs'!$G$26)/100,4)</f>
        <v>9.3200000000000005E-2</v>
      </c>
      <c r="C111" s="18">
        <v>153009161.11652237</v>
      </c>
      <c r="D111" s="18">
        <v>95350653.92097868</v>
      </c>
      <c r="E111" s="18">
        <v>8232765.089851941</v>
      </c>
      <c r="F111" s="18">
        <v>48961584.002093248</v>
      </c>
      <c r="G111" s="18">
        <v>-2004469.7702344789</v>
      </c>
      <c r="H111" s="18">
        <v>87571223.392019928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S111" s="32">
        <f>ROUND(S110+('I2 CBA Inputs'!$H$9-'I2 CBA Inputs'!$G$9)/100,3)</f>
        <v>1.2350000000000001</v>
      </c>
      <c r="T111" s="18">
        <v>186988248.48058468</v>
      </c>
      <c r="U111" s="18">
        <v>140307175.74997497</v>
      </c>
      <c r="V111" s="18">
        <v>-6964407.0756824007</v>
      </c>
      <c r="W111" s="18">
        <v>43947630.901815653</v>
      </c>
      <c r="X111" s="18">
        <v>-14167215.829058019</v>
      </c>
      <c r="Y111" s="18">
        <v>53708960.514431149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</row>
    <row r="112" spans="2:34" x14ac:dyDescent="0.2">
      <c r="B112" s="31">
        <f>ROUND(B111+('I1 General Inputs'!$H$26-'I1 General Inputs'!$G$26)/100,4)</f>
        <v>9.3799999999999994E-2</v>
      </c>
      <c r="C112" s="18">
        <v>152135372.63986525</v>
      </c>
      <c r="D112" s="18">
        <v>94663401.862471566</v>
      </c>
      <c r="E112" s="18">
        <v>8118491.4329655264</v>
      </c>
      <c r="F112" s="18">
        <v>48900354.824364044</v>
      </c>
      <c r="G112" s="18">
        <v>-2090323.564566527</v>
      </c>
      <c r="H112" s="18">
        <v>86989481.367208675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S112" s="32">
        <f>ROUND(S111+('I2 CBA Inputs'!$H$9-'I2 CBA Inputs'!$G$9)/100,3)</f>
        <v>1.24</v>
      </c>
      <c r="T112" s="18">
        <v>186363529.96038851</v>
      </c>
      <c r="U112" s="18">
        <v>140182369.83541211</v>
      </c>
      <c r="V112" s="18">
        <v>-7464319.6813156931</v>
      </c>
      <c r="W112" s="18">
        <v>43780993.366604574</v>
      </c>
      <c r="X112" s="18">
        <v>-14555060.329020098</v>
      </c>
      <c r="Y112" s="18">
        <v>52172682.824495196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</row>
    <row r="113" spans="2:34" x14ac:dyDescent="0.2">
      <c r="B113" s="31">
        <f>ROUND(B112+('I1 General Inputs'!$H$26-'I1 General Inputs'!$G$26)/100,4)</f>
        <v>9.4399999999999998E-2</v>
      </c>
      <c r="C113" s="18">
        <v>151268186.39499912</v>
      </c>
      <c r="D113" s="18">
        <v>93981855.603220597</v>
      </c>
      <c r="E113" s="18">
        <v>8005058.5662910705</v>
      </c>
      <c r="F113" s="18">
        <v>48838836.807464585</v>
      </c>
      <c r="G113" s="18">
        <v>-2175604.1724432148</v>
      </c>
      <c r="H113" s="18">
        <v>86410455.443377897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S113" s="32">
        <f>ROUND(S112+('I2 CBA Inputs'!$H$9-'I2 CBA Inputs'!$G$9)/100,3)</f>
        <v>1.2450000000000001</v>
      </c>
      <c r="T113" s="18">
        <v>185738811.4401924</v>
      </c>
      <c r="U113" s="18">
        <v>140057563.92084923</v>
      </c>
      <c r="V113" s="18">
        <v>-7964232.2869489854</v>
      </c>
      <c r="W113" s="18">
        <v>43614355.831393473</v>
      </c>
      <c r="X113" s="18">
        <v>-14942904.828982156</v>
      </c>
      <c r="Y113" s="18">
        <v>50636405.134559236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</row>
    <row r="114" spans="2:34" x14ac:dyDescent="0.2">
      <c r="B114" s="31">
        <f>ROUND(B113+('I1 General Inputs'!$H$26-'I1 General Inputs'!$G$26)/100,4)</f>
        <v>9.5000000000000001E-2</v>
      </c>
      <c r="C114" s="18">
        <v>150407536.48010129</v>
      </c>
      <c r="D114" s="18">
        <v>93305958.491741732</v>
      </c>
      <c r="E114" s="18">
        <v>7892457.174782766</v>
      </c>
      <c r="F114" s="18">
        <v>48777035.12220642</v>
      </c>
      <c r="G114" s="18">
        <v>-2260316.9067311138</v>
      </c>
      <c r="H114" s="18">
        <v>85834128.748572901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S114" s="32">
        <f>ROUND(S113+('I2 CBA Inputs'!$H$9-'I2 CBA Inputs'!$G$9)/100,3)</f>
        <v>1.25</v>
      </c>
      <c r="T114" s="18">
        <v>185114092.9199962</v>
      </c>
      <c r="U114" s="18">
        <v>139932758.00628638</v>
      </c>
      <c r="V114" s="18">
        <v>-8464144.8925822638</v>
      </c>
      <c r="W114" s="18">
        <v>43447718.296182387</v>
      </c>
      <c r="X114" s="18">
        <v>-15330749.328944221</v>
      </c>
      <c r="Y114" s="18">
        <v>49100127.444623336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</row>
    <row r="115" spans="2:34" ht="15.4" customHeight="1" x14ac:dyDescent="0.2"/>
    <row r="116" spans="2:34" ht="15.4" customHeight="1" x14ac:dyDescent="0.25">
      <c r="B116" s="5" t="s">
        <v>77</v>
      </c>
      <c r="C116" s="5"/>
      <c r="D116" s="5"/>
      <c r="E116" s="5"/>
      <c r="F116" s="5"/>
      <c r="S116" s="30" t="s">
        <v>78</v>
      </c>
      <c r="T116" s="5"/>
      <c r="U116" s="5"/>
      <c r="V116" s="5"/>
      <c r="W116" s="5"/>
    </row>
    <row r="117" spans="2:34" ht="15.75" x14ac:dyDescent="0.25">
      <c r="B117" s="7" t="s">
        <v>58</v>
      </c>
      <c r="C117" s="103" t="e">
        <f>+'R1 Interface and results'!#REF!</f>
        <v>#REF!</v>
      </c>
      <c r="D117" s="103" t="e">
        <f>+'R1 Interface and results'!#REF!</f>
        <v>#REF!</v>
      </c>
      <c r="E117" s="7"/>
      <c r="F117" s="7" t="s">
        <v>76</v>
      </c>
      <c r="S117" s="7" t="s">
        <v>61</v>
      </c>
      <c r="T117" s="103" t="e">
        <f>+'R1 Interface and results'!#REF!</f>
        <v>#REF!</v>
      </c>
      <c r="U117" s="103" t="e">
        <f>+'R1 Interface and results'!#REF!</f>
        <v>#REF!</v>
      </c>
      <c r="V117" s="7"/>
      <c r="W117" s="7" t="s">
        <v>76</v>
      </c>
    </row>
    <row r="118" spans="2:34" x14ac:dyDescent="0.2">
      <c r="B118" s="102">
        <f>B14</f>
        <v>3.5000000000000003E-2</v>
      </c>
      <c r="C118" s="18" t="e">
        <f t="shared" ref="C118:D137" si="2">INDEX($C$14:$Q$114,MATCH($B118,$B$14:$B$114,0),MATCH(C$117,$C$13:$Q$13,0))</f>
        <v>#REF!</v>
      </c>
      <c r="D118" s="18" t="e">
        <f t="shared" si="2"/>
        <v>#REF!</v>
      </c>
      <c r="E118" s="95" t="e">
        <f>C118&gt;D118</f>
        <v>#REF!</v>
      </c>
      <c r="F118" s="2"/>
      <c r="S118" s="102">
        <f>S14</f>
        <v>0.75</v>
      </c>
      <c r="T118" s="18" t="e">
        <f>INDEX($T$14:$AH$114,MATCH($S118,$S$14:$S$114,0),MATCH(T$117,$T$13:$AH$13,0))</f>
        <v>#REF!</v>
      </c>
      <c r="U118" s="18" t="e">
        <f t="shared" ref="U118:U181" si="3">INDEX($T$14:$AH$114,MATCH($S118,$S$14:$S$114,0),MATCH(U$117,$T$13:$AH$13,0))</f>
        <v>#REF!</v>
      </c>
      <c r="V118" s="95" t="e">
        <f>T118&gt;U118</f>
        <v>#REF!</v>
      </c>
      <c r="W118" s="2"/>
    </row>
    <row r="119" spans="2:34" x14ac:dyDescent="0.2">
      <c r="B119" s="102">
        <f t="shared" ref="B119:B183" si="4">B15</f>
        <v>3.56E-2</v>
      </c>
      <c r="C119" s="18" t="e">
        <f t="shared" si="2"/>
        <v>#REF!</v>
      </c>
      <c r="D119" s="18" t="e">
        <f t="shared" si="2"/>
        <v>#REF!</v>
      </c>
      <c r="E119" s="95" t="e">
        <f t="shared" ref="E119" si="5">C119&gt;D119</f>
        <v>#REF!</v>
      </c>
      <c r="F119" s="104" t="e">
        <f>+IF(E118=E119,0,1)</f>
        <v>#REF!</v>
      </c>
      <c r="S119" s="102">
        <f t="shared" ref="S119:S182" si="6">S15</f>
        <v>0.755</v>
      </c>
      <c r="T119" s="18" t="e">
        <f t="shared" ref="T119:T138" si="7">INDEX($T$14:$AH$114,MATCH($S119,$S$14:$S$114,0),MATCH(T$117,$T$13:$AH$13,0))</f>
        <v>#REF!</v>
      </c>
      <c r="U119" s="18" t="e">
        <f t="shared" si="3"/>
        <v>#REF!</v>
      </c>
      <c r="V119" s="95" t="e">
        <f t="shared" ref="V119:V182" si="8">T119&gt;U119</f>
        <v>#REF!</v>
      </c>
      <c r="W119" s="104" t="e">
        <f>+IF(V118=V119,0,1)</f>
        <v>#REF!</v>
      </c>
    </row>
    <row r="120" spans="2:34" x14ac:dyDescent="0.2">
      <c r="B120" s="102">
        <f t="shared" si="4"/>
        <v>3.6200000000000003E-2</v>
      </c>
      <c r="C120" s="18" t="e">
        <f t="shared" si="2"/>
        <v>#REF!</v>
      </c>
      <c r="D120" s="18" t="e">
        <f t="shared" si="2"/>
        <v>#REF!</v>
      </c>
      <c r="E120" s="95" t="e">
        <f t="shared" ref="E120:E183" si="9">C120&gt;D120</f>
        <v>#REF!</v>
      </c>
      <c r="F120" s="104" t="e">
        <f t="shared" ref="F120:F183" si="10">+IF(E119=E120,0,1)</f>
        <v>#REF!</v>
      </c>
      <c r="S120" s="102">
        <f t="shared" si="6"/>
        <v>0.76</v>
      </c>
      <c r="T120" s="18" t="e">
        <f t="shared" si="7"/>
        <v>#REF!</v>
      </c>
      <c r="U120" s="18" t="e">
        <f t="shared" si="3"/>
        <v>#REF!</v>
      </c>
      <c r="V120" s="95" t="e">
        <f t="shared" si="8"/>
        <v>#REF!</v>
      </c>
      <c r="W120" s="104" t="e">
        <f t="shared" ref="W120:W183" si="11">+IF(V119=V120,0,1)</f>
        <v>#REF!</v>
      </c>
    </row>
    <row r="121" spans="2:34" x14ac:dyDescent="0.2">
      <c r="B121" s="102">
        <f t="shared" si="4"/>
        <v>3.6799999999999999E-2</v>
      </c>
      <c r="C121" s="18" t="e">
        <f t="shared" si="2"/>
        <v>#REF!</v>
      </c>
      <c r="D121" s="18" t="e">
        <f t="shared" si="2"/>
        <v>#REF!</v>
      </c>
      <c r="E121" s="95" t="e">
        <f t="shared" si="9"/>
        <v>#REF!</v>
      </c>
      <c r="F121" s="104" t="e">
        <f t="shared" si="10"/>
        <v>#REF!</v>
      </c>
      <c r="S121" s="102">
        <f t="shared" si="6"/>
        <v>0.76500000000000001</v>
      </c>
      <c r="T121" s="18" t="e">
        <f t="shared" si="7"/>
        <v>#REF!</v>
      </c>
      <c r="U121" s="18" t="e">
        <f t="shared" si="3"/>
        <v>#REF!</v>
      </c>
      <c r="V121" s="95" t="e">
        <f t="shared" si="8"/>
        <v>#REF!</v>
      </c>
      <c r="W121" s="104" t="e">
        <f t="shared" si="11"/>
        <v>#REF!</v>
      </c>
    </row>
    <row r="122" spans="2:34" x14ac:dyDescent="0.2">
      <c r="B122" s="102">
        <f t="shared" si="4"/>
        <v>3.7400000000000003E-2</v>
      </c>
      <c r="C122" s="18" t="e">
        <f t="shared" si="2"/>
        <v>#REF!</v>
      </c>
      <c r="D122" s="18" t="e">
        <f t="shared" si="2"/>
        <v>#REF!</v>
      </c>
      <c r="E122" s="95" t="e">
        <f t="shared" si="9"/>
        <v>#REF!</v>
      </c>
      <c r="F122" s="104" t="e">
        <f t="shared" si="10"/>
        <v>#REF!</v>
      </c>
      <c r="S122" s="102">
        <f t="shared" si="6"/>
        <v>0.77</v>
      </c>
      <c r="T122" s="18" t="e">
        <f t="shared" si="7"/>
        <v>#REF!</v>
      </c>
      <c r="U122" s="18" t="e">
        <f t="shared" si="3"/>
        <v>#REF!</v>
      </c>
      <c r="V122" s="95" t="e">
        <f t="shared" si="8"/>
        <v>#REF!</v>
      </c>
      <c r="W122" s="104" t="e">
        <f t="shared" si="11"/>
        <v>#REF!</v>
      </c>
    </row>
    <row r="123" spans="2:34" x14ac:dyDescent="0.2">
      <c r="B123" s="102">
        <f t="shared" si="4"/>
        <v>3.7999999999999999E-2</v>
      </c>
      <c r="C123" s="18" t="e">
        <f t="shared" si="2"/>
        <v>#REF!</v>
      </c>
      <c r="D123" s="18" t="e">
        <f t="shared" si="2"/>
        <v>#REF!</v>
      </c>
      <c r="E123" s="95" t="e">
        <f t="shared" si="9"/>
        <v>#REF!</v>
      </c>
      <c r="F123" s="104" t="e">
        <f t="shared" si="10"/>
        <v>#REF!</v>
      </c>
      <c r="S123" s="102">
        <f t="shared" si="6"/>
        <v>0.77500000000000002</v>
      </c>
      <c r="T123" s="18" t="e">
        <f t="shared" si="7"/>
        <v>#REF!</v>
      </c>
      <c r="U123" s="18" t="e">
        <f t="shared" si="3"/>
        <v>#REF!</v>
      </c>
      <c r="V123" s="95" t="e">
        <f t="shared" si="8"/>
        <v>#REF!</v>
      </c>
      <c r="W123" s="104" t="e">
        <f t="shared" si="11"/>
        <v>#REF!</v>
      </c>
    </row>
    <row r="124" spans="2:34" x14ac:dyDescent="0.2">
      <c r="B124" s="102">
        <f t="shared" si="4"/>
        <v>3.8600000000000002E-2</v>
      </c>
      <c r="C124" s="18" t="e">
        <f t="shared" si="2"/>
        <v>#REF!</v>
      </c>
      <c r="D124" s="18" t="e">
        <f t="shared" si="2"/>
        <v>#REF!</v>
      </c>
      <c r="E124" s="95" t="e">
        <f t="shared" si="9"/>
        <v>#REF!</v>
      </c>
      <c r="F124" s="104" t="e">
        <f t="shared" si="10"/>
        <v>#REF!</v>
      </c>
      <c r="S124" s="102">
        <f t="shared" si="6"/>
        <v>0.78</v>
      </c>
      <c r="T124" s="18" t="e">
        <f t="shared" si="7"/>
        <v>#REF!</v>
      </c>
      <c r="U124" s="18" t="e">
        <f t="shared" si="3"/>
        <v>#REF!</v>
      </c>
      <c r="V124" s="95" t="e">
        <f t="shared" si="8"/>
        <v>#REF!</v>
      </c>
      <c r="W124" s="104" t="e">
        <f t="shared" si="11"/>
        <v>#REF!</v>
      </c>
    </row>
    <row r="125" spans="2:34" x14ac:dyDescent="0.2">
      <c r="B125" s="102">
        <f t="shared" si="4"/>
        <v>3.9199999999999999E-2</v>
      </c>
      <c r="C125" s="18" t="e">
        <f t="shared" si="2"/>
        <v>#REF!</v>
      </c>
      <c r="D125" s="18" t="e">
        <f t="shared" si="2"/>
        <v>#REF!</v>
      </c>
      <c r="E125" s="95" t="e">
        <f t="shared" si="9"/>
        <v>#REF!</v>
      </c>
      <c r="F125" s="104" t="e">
        <f t="shared" si="10"/>
        <v>#REF!</v>
      </c>
      <c r="S125" s="102">
        <f t="shared" si="6"/>
        <v>0.78500000000000003</v>
      </c>
      <c r="T125" s="18" t="e">
        <f t="shared" si="7"/>
        <v>#REF!</v>
      </c>
      <c r="U125" s="18" t="e">
        <f t="shared" si="3"/>
        <v>#REF!</v>
      </c>
      <c r="V125" s="95" t="e">
        <f t="shared" si="8"/>
        <v>#REF!</v>
      </c>
      <c r="W125" s="104" t="e">
        <f t="shared" si="11"/>
        <v>#REF!</v>
      </c>
    </row>
    <row r="126" spans="2:34" x14ac:dyDescent="0.2">
      <c r="B126" s="102">
        <f t="shared" si="4"/>
        <v>3.9800000000000002E-2</v>
      </c>
      <c r="C126" s="18" t="e">
        <f t="shared" si="2"/>
        <v>#REF!</v>
      </c>
      <c r="D126" s="18" t="e">
        <f t="shared" si="2"/>
        <v>#REF!</v>
      </c>
      <c r="E126" s="95" t="e">
        <f t="shared" si="9"/>
        <v>#REF!</v>
      </c>
      <c r="F126" s="104" t="e">
        <f t="shared" si="10"/>
        <v>#REF!</v>
      </c>
      <c r="S126" s="102">
        <f t="shared" si="6"/>
        <v>0.79</v>
      </c>
      <c r="T126" s="18" t="e">
        <f t="shared" si="7"/>
        <v>#REF!</v>
      </c>
      <c r="U126" s="18" t="e">
        <f t="shared" si="3"/>
        <v>#REF!</v>
      </c>
      <c r="V126" s="95" t="e">
        <f t="shared" si="8"/>
        <v>#REF!</v>
      </c>
      <c r="W126" s="104" t="e">
        <f t="shared" si="11"/>
        <v>#REF!</v>
      </c>
    </row>
    <row r="127" spans="2:34" x14ac:dyDescent="0.2">
      <c r="B127" s="102">
        <f t="shared" si="4"/>
        <v>4.0399999999999998E-2</v>
      </c>
      <c r="C127" s="18" t="e">
        <f t="shared" si="2"/>
        <v>#REF!</v>
      </c>
      <c r="D127" s="18" t="e">
        <f t="shared" si="2"/>
        <v>#REF!</v>
      </c>
      <c r="E127" s="95" t="e">
        <f t="shared" si="9"/>
        <v>#REF!</v>
      </c>
      <c r="F127" s="104" t="e">
        <f t="shared" si="10"/>
        <v>#REF!</v>
      </c>
      <c r="S127" s="102">
        <f t="shared" si="6"/>
        <v>0.79500000000000004</v>
      </c>
      <c r="T127" s="18" t="e">
        <f t="shared" si="7"/>
        <v>#REF!</v>
      </c>
      <c r="U127" s="18" t="e">
        <f t="shared" si="3"/>
        <v>#REF!</v>
      </c>
      <c r="V127" s="95" t="e">
        <f t="shared" si="8"/>
        <v>#REF!</v>
      </c>
      <c r="W127" s="104" t="e">
        <f t="shared" si="11"/>
        <v>#REF!</v>
      </c>
    </row>
    <row r="128" spans="2:34" x14ac:dyDescent="0.2">
      <c r="B128" s="102">
        <f t="shared" si="4"/>
        <v>4.1000000000000002E-2</v>
      </c>
      <c r="C128" s="18" t="e">
        <f t="shared" si="2"/>
        <v>#REF!</v>
      </c>
      <c r="D128" s="18" t="e">
        <f t="shared" si="2"/>
        <v>#REF!</v>
      </c>
      <c r="E128" s="95" t="e">
        <f t="shared" si="9"/>
        <v>#REF!</v>
      </c>
      <c r="F128" s="104" t="e">
        <f t="shared" si="10"/>
        <v>#REF!</v>
      </c>
      <c r="S128" s="102">
        <f t="shared" si="6"/>
        <v>0.8</v>
      </c>
      <c r="T128" s="18" t="e">
        <f t="shared" si="7"/>
        <v>#REF!</v>
      </c>
      <c r="U128" s="18" t="e">
        <f t="shared" si="3"/>
        <v>#REF!</v>
      </c>
      <c r="V128" s="95" t="e">
        <f t="shared" si="8"/>
        <v>#REF!</v>
      </c>
      <c r="W128" s="104" t="e">
        <f t="shared" si="11"/>
        <v>#REF!</v>
      </c>
    </row>
    <row r="129" spans="2:23" x14ac:dyDescent="0.2">
      <c r="B129" s="102">
        <f t="shared" si="4"/>
        <v>4.1599999999999998E-2</v>
      </c>
      <c r="C129" s="18" t="e">
        <f t="shared" si="2"/>
        <v>#REF!</v>
      </c>
      <c r="D129" s="18" t="e">
        <f t="shared" si="2"/>
        <v>#REF!</v>
      </c>
      <c r="E129" s="95" t="e">
        <f t="shared" si="9"/>
        <v>#REF!</v>
      </c>
      <c r="F129" s="104" t="e">
        <f t="shared" si="10"/>
        <v>#REF!</v>
      </c>
      <c r="S129" s="102">
        <f t="shared" si="6"/>
        <v>0.80500000000000005</v>
      </c>
      <c r="T129" s="18" t="e">
        <f t="shared" si="7"/>
        <v>#REF!</v>
      </c>
      <c r="U129" s="18" t="e">
        <f t="shared" si="3"/>
        <v>#REF!</v>
      </c>
      <c r="V129" s="95" t="e">
        <f t="shared" si="8"/>
        <v>#REF!</v>
      </c>
      <c r="W129" s="104" t="e">
        <f t="shared" si="11"/>
        <v>#REF!</v>
      </c>
    </row>
    <row r="130" spans="2:23" x14ac:dyDescent="0.2">
      <c r="B130" s="102">
        <f t="shared" si="4"/>
        <v>4.2200000000000001E-2</v>
      </c>
      <c r="C130" s="18" t="e">
        <f t="shared" si="2"/>
        <v>#REF!</v>
      </c>
      <c r="D130" s="18" t="e">
        <f t="shared" si="2"/>
        <v>#REF!</v>
      </c>
      <c r="E130" s="95" t="e">
        <f t="shared" si="9"/>
        <v>#REF!</v>
      </c>
      <c r="F130" s="104" t="e">
        <f t="shared" si="10"/>
        <v>#REF!</v>
      </c>
      <c r="S130" s="102">
        <f t="shared" si="6"/>
        <v>0.81</v>
      </c>
      <c r="T130" s="18" t="e">
        <f t="shared" si="7"/>
        <v>#REF!</v>
      </c>
      <c r="U130" s="18" t="e">
        <f t="shared" si="3"/>
        <v>#REF!</v>
      </c>
      <c r="V130" s="95" t="e">
        <f t="shared" si="8"/>
        <v>#REF!</v>
      </c>
      <c r="W130" s="104" t="e">
        <f t="shared" si="11"/>
        <v>#REF!</v>
      </c>
    </row>
    <row r="131" spans="2:23" x14ac:dyDescent="0.2">
      <c r="B131" s="102">
        <f t="shared" si="4"/>
        <v>4.2799999999999998E-2</v>
      </c>
      <c r="C131" s="18" t="e">
        <f t="shared" si="2"/>
        <v>#REF!</v>
      </c>
      <c r="D131" s="18" t="e">
        <f t="shared" si="2"/>
        <v>#REF!</v>
      </c>
      <c r="E131" s="95" t="e">
        <f t="shared" si="9"/>
        <v>#REF!</v>
      </c>
      <c r="F131" s="104" t="e">
        <f t="shared" si="10"/>
        <v>#REF!</v>
      </c>
      <c r="S131" s="102">
        <f t="shared" si="6"/>
        <v>0.81499999999999995</v>
      </c>
      <c r="T131" s="18" t="e">
        <f t="shared" si="7"/>
        <v>#REF!</v>
      </c>
      <c r="U131" s="18" t="e">
        <f t="shared" si="3"/>
        <v>#REF!</v>
      </c>
      <c r="V131" s="95" t="e">
        <f t="shared" si="8"/>
        <v>#REF!</v>
      </c>
      <c r="W131" s="104" t="e">
        <f t="shared" si="11"/>
        <v>#REF!</v>
      </c>
    </row>
    <row r="132" spans="2:23" x14ac:dyDescent="0.2">
      <c r="B132" s="102">
        <f t="shared" si="4"/>
        <v>4.3400000000000001E-2</v>
      </c>
      <c r="C132" s="18" t="e">
        <f t="shared" si="2"/>
        <v>#REF!</v>
      </c>
      <c r="D132" s="18" t="e">
        <f t="shared" si="2"/>
        <v>#REF!</v>
      </c>
      <c r="E132" s="95" t="e">
        <f t="shared" si="9"/>
        <v>#REF!</v>
      </c>
      <c r="F132" s="104" t="e">
        <f t="shared" si="10"/>
        <v>#REF!</v>
      </c>
      <c r="S132" s="102">
        <f t="shared" si="6"/>
        <v>0.82</v>
      </c>
      <c r="T132" s="18" t="e">
        <f t="shared" si="7"/>
        <v>#REF!</v>
      </c>
      <c r="U132" s="18" t="e">
        <f t="shared" si="3"/>
        <v>#REF!</v>
      </c>
      <c r="V132" s="95" t="e">
        <f t="shared" si="8"/>
        <v>#REF!</v>
      </c>
      <c r="W132" s="104" t="e">
        <f t="shared" si="11"/>
        <v>#REF!</v>
      </c>
    </row>
    <row r="133" spans="2:23" x14ac:dyDescent="0.2">
      <c r="B133" s="102">
        <f t="shared" si="4"/>
        <v>4.3999999999999997E-2</v>
      </c>
      <c r="C133" s="18" t="e">
        <f t="shared" si="2"/>
        <v>#REF!</v>
      </c>
      <c r="D133" s="18" t="e">
        <f t="shared" si="2"/>
        <v>#REF!</v>
      </c>
      <c r="E133" s="95" t="e">
        <f t="shared" si="9"/>
        <v>#REF!</v>
      </c>
      <c r="F133" s="104" t="e">
        <f t="shared" si="10"/>
        <v>#REF!</v>
      </c>
      <c r="S133" s="102">
        <f t="shared" si="6"/>
        <v>0.82499999999999996</v>
      </c>
      <c r="T133" s="18" t="e">
        <f t="shared" si="7"/>
        <v>#REF!</v>
      </c>
      <c r="U133" s="18" t="e">
        <f t="shared" si="3"/>
        <v>#REF!</v>
      </c>
      <c r="V133" s="95" t="e">
        <f t="shared" si="8"/>
        <v>#REF!</v>
      </c>
      <c r="W133" s="104" t="e">
        <f t="shared" si="11"/>
        <v>#REF!</v>
      </c>
    </row>
    <row r="134" spans="2:23" x14ac:dyDescent="0.2">
      <c r="B134" s="102">
        <f t="shared" si="4"/>
        <v>4.4600000000000001E-2</v>
      </c>
      <c r="C134" s="18" t="e">
        <f t="shared" si="2"/>
        <v>#REF!</v>
      </c>
      <c r="D134" s="18" t="e">
        <f t="shared" si="2"/>
        <v>#REF!</v>
      </c>
      <c r="E134" s="95" t="e">
        <f t="shared" si="9"/>
        <v>#REF!</v>
      </c>
      <c r="F134" s="104" t="e">
        <f t="shared" si="10"/>
        <v>#REF!</v>
      </c>
      <c r="S134" s="102">
        <f t="shared" si="6"/>
        <v>0.83</v>
      </c>
      <c r="T134" s="18" t="e">
        <f t="shared" si="7"/>
        <v>#REF!</v>
      </c>
      <c r="U134" s="18" t="e">
        <f t="shared" si="3"/>
        <v>#REF!</v>
      </c>
      <c r="V134" s="95" t="e">
        <f t="shared" si="8"/>
        <v>#REF!</v>
      </c>
      <c r="W134" s="104" t="e">
        <f t="shared" si="11"/>
        <v>#REF!</v>
      </c>
    </row>
    <row r="135" spans="2:23" x14ac:dyDescent="0.2">
      <c r="B135" s="102">
        <f t="shared" si="4"/>
        <v>4.5199999999999997E-2</v>
      </c>
      <c r="C135" s="18" t="e">
        <f t="shared" si="2"/>
        <v>#REF!</v>
      </c>
      <c r="D135" s="18" t="e">
        <f t="shared" si="2"/>
        <v>#REF!</v>
      </c>
      <c r="E135" s="95" t="e">
        <f t="shared" si="9"/>
        <v>#REF!</v>
      </c>
      <c r="F135" s="104" t="e">
        <f t="shared" si="10"/>
        <v>#REF!</v>
      </c>
      <c r="S135" s="102">
        <f t="shared" si="6"/>
        <v>0.83499999999999996</v>
      </c>
      <c r="T135" s="18" t="e">
        <f t="shared" si="7"/>
        <v>#REF!</v>
      </c>
      <c r="U135" s="18" t="e">
        <f t="shared" si="3"/>
        <v>#REF!</v>
      </c>
      <c r="V135" s="95" t="e">
        <f t="shared" si="8"/>
        <v>#REF!</v>
      </c>
      <c r="W135" s="104" t="e">
        <f t="shared" si="11"/>
        <v>#REF!</v>
      </c>
    </row>
    <row r="136" spans="2:23" x14ac:dyDescent="0.2">
      <c r="B136" s="102">
        <f t="shared" si="4"/>
        <v>4.58E-2</v>
      </c>
      <c r="C136" s="18" t="e">
        <f t="shared" si="2"/>
        <v>#REF!</v>
      </c>
      <c r="D136" s="18" t="e">
        <f t="shared" si="2"/>
        <v>#REF!</v>
      </c>
      <c r="E136" s="95" t="e">
        <f t="shared" si="9"/>
        <v>#REF!</v>
      </c>
      <c r="F136" s="104" t="e">
        <f t="shared" si="10"/>
        <v>#REF!</v>
      </c>
      <c r="S136" s="102">
        <f t="shared" si="6"/>
        <v>0.84</v>
      </c>
      <c r="T136" s="18" t="e">
        <f t="shared" si="7"/>
        <v>#REF!</v>
      </c>
      <c r="U136" s="18" t="e">
        <f t="shared" si="3"/>
        <v>#REF!</v>
      </c>
      <c r="V136" s="95" t="e">
        <f t="shared" si="8"/>
        <v>#REF!</v>
      </c>
      <c r="W136" s="104" t="e">
        <f t="shared" si="11"/>
        <v>#REF!</v>
      </c>
    </row>
    <row r="137" spans="2:23" x14ac:dyDescent="0.2">
      <c r="B137" s="102">
        <f t="shared" si="4"/>
        <v>4.6399999999999997E-2</v>
      </c>
      <c r="C137" s="18" t="e">
        <f t="shared" si="2"/>
        <v>#REF!</v>
      </c>
      <c r="D137" s="18" t="e">
        <f t="shared" si="2"/>
        <v>#REF!</v>
      </c>
      <c r="E137" s="95" t="e">
        <f t="shared" si="9"/>
        <v>#REF!</v>
      </c>
      <c r="F137" s="104" t="e">
        <f t="shared" si="10"/>
        <v>#REF!</v>
      </c>
      <c r="S137" s="102">
        <f t="shared" si="6"/>
        <v>0.84499999999999997</v>
      </c>
      <c r="T137" s="18" t="e">
        <f t="shared" si="7"/>
        <v>#REF!</v>
      </c>
      <c r="U137" s="18" t="e">
        <f t="shared" si="3"/>
        <v>#REF!</v>
      </c>
      <c r="V137" s="95" t="e">
        <f t="shared" si="8"/>
        <v>#REF!</v>
      </c>
      <c r="W137" s="104" t="e">
        <f t="shared" si="11"/>
        <v>#REF!</v>
      </c>
    </row>
    <row r="138" spans="2:23" x14ac:dyDescent="0.2">
      <c r="B138" s="102">
        <f t="shared" si="4"/>
        <v>4.7E-2</v>
      </c>
      <c r="C138" s="18" t="e">
        <f t="shared" ref="C138:D157" si="12">INDEX($C$14:$Q$114,MATCH($B138,$B$14:$B$114,0),MATCH(C$117,$C$13:$Q$13,0))</f>
        <v>#REF!</v>
      </c>
      <c r="D138" s="18" t="e">
        <f t="shared" si="12"/>
        <v>#REF!</v>
      </c>
      <c r="E138" s="95" t="e">
        <f t="shared" si="9"/>
        <v>#REF!</v>
      </c>
      <c r="F138" s="104" t="e">
        <f t="shared" si="10"/>
        <v>#REF!</v>
      </c>
      <c r="S138" s="102">
        <f t="shared" si="6"/>
        <v>0.85</v>
      </c>
      <c r="T138" s="18" t="e">
        <f t="shared" si="7"/>
        <v>#REF!</v>
      </c>
      <c r="U138" s="18" t="e">
        <f t="shared" si="3"/>
        <v>#REF!</v>
      </c>
      <c r="V138" s="95" t="e">
        <f t="shared" si="8"/>
        <v>#REF!</v>
      </c>
      <c r="W138" s="104" t="e">
        <f t="shared" si="11"/>
        <v>#REF!</v>
      </c>
    </row>
    <row r="139" spans="2:23" x14ac:dyDescent="0.2">
      <c r="B139" s="102">
        <f t="shared" si="4"/>
        <v>4.7600000000000003E-2</v>
      </c>
      <c r="C139" s="18" t="e">
        <f t="shared" si="12"/>
        <v>#REF!</v>
      </c>
      <c r="D139" s="18" t="e">
        <f t="shared" si="12"/>
        <v>#REF!</v>
      </c>
      <c r="E139" s="95" t="e">
        <f t="shared" si="9"/>
        <v>#REF!</v>
      </c>
      <c r="F139" s="104" t="e">
        <f t="shared" si="10"/>
        <v>#REF!</v>
      </c>
      <c r="S139" s="102">
        <f t="shared" si="6"/>
        <v>0.85499999999999998</v>
      </c>
      <c r="T139" s="18" t="e">
        <f t="shared" ref="T139:T158" si="13">INDEX($T$14:$AH$114,MATCH($S139,$S$14:$S$114,0),MATCH(T$117,$T$13:$AH$13,0))</f>
        <v>#REF!</v>
      </c>
      <c r="U139" s="18" t="e">
        <f t="shared" si="3"/>
        <v>#REF!</v>
      </c>
      <c r="V139" s="95" t="e">
        <f t="shared" si="8"/>
        <v>#REF!</v>
      </c>
      <c r="W139" s="104" t="e">
        <f t="shared" si="11"/>
        <v>#REF!</v>
      </c>
    </row>
    <row r="140" spans="2:23" x14ac:dyDescent="0.2">
      <c r="B140" s="102">
        <f t="shared" si="4"/>
        <v>4.82E-2</v>
      </c>
      <c r="C140" s="18" t="e">
        <f t="shared" si="12"/>
        <v>#REF!</v>
      </c>
      <c r="D140" s="18" t="e">
        <f t="shared" si="12"/>
        <v>#REF!</v>
      </c>
      <c r="E140" s="95" t="e">
        <f t="shared" si="9"/>
        <v>#REF!</v>
      </c>
      <c r="F140" s="104" t="e">
        <f t="shared" si="10"/>
        <v>#REF!</v>
      </c>
      <c r="S140" s="102">
        <f t="shared" si="6"/>
        <v>0.86</v>
      </c>
      <c r="T140" s="18" t="e">
        <f t="shared" si="13"/>
        <v>#REF!</v>
      </c>
      <c r="U140" s="18" t="e">
        <f t="shared" si="3"/>
        <v>#REF!</v>
      </c>
      <c r="V140" s="95" t="e">
        <f t="shared" si="8"/>
        <v>#REF!</v>
      </c>
      <c r="W140" s="104" t="e">
        <f t="shared" si="11"/>
        <v>#REF!</v>
      </c>
    </row>
    <row r="141" spans="2:23" x14ac:dyDescent="0.2">
      <c r="B141" s="102">
        <f t="shared" si="4"/>
        <v>4.8800000000000003E-2</v>
      </c>
      <c r="C141" s="18" t="e">
        <f t="shared" si="12"/>
        <v>#REF!</v>
      </c>
      <c r="D141" s="18" t="e">
        <f t="shared" si="12"/>
        <v>#REF!</v>
      </c>
      <c r="E141" s="95" t="e">
        <f t="shared" si="9"/>
        <v>#REF!</v>
      </c>
      <c r="F141" s="104" t="e">
        <f t="shared" si="10"/>
        <v>#REF!</v>
      </c>
      <c r="S141" s="102">
        <f t="shared" si="6"/>
        <v>0.86499999999999999</v>
      </c>
      <c r="T141" s="18" t="e">
        <f t="shared" si="13"/>
        <v>#REF!</v>
      </c>
      <c r="U141" s="18" t="e">
        <f t="shared" si="3"/>
        <v>#REF!</v>
      </c>
      <c r="V141" s="95" t="e">
        <f t="shared" si="8"/>
        <v>#REF!</v>
      </c>
      <c r="W141" s="104" t="e">
        <f t="shared" si="11"/>
        <v>#REF!</v>
      </c>
    </row>
    <row r="142" spans="2:23" x14ac:dyDescent="0.2">
      <c r="B142" s="102">
        <f t="shared" si="4"/>
        <v>4.9399999999999999E-2</v>
      </c>
      <c r="C142" s="18" t="e">
        <f t="shared" si="12"/>
        <v>#REF!</v>
      </c>
      <c r="D142" s="18" t="e">
        <f t="shared" si="12"/>
        <v>#REF!</v>
      </c>
      <c r="E142" s="95" t="e">
        <f t="shared" si="9"/>
        <v>#REF!</v>
      </c>
      <c r="F142" s="104" t="e">
        <f t="shared" si="10"/>
        <v>#REF!</v>
      </c>
      <c r="S142" s="102">
        <f t="shared" si="6"/>
        <v>0.87</v>
      </c>
      <c r="T142" s="18" t="e">
        <f t="shared" si="13"/>
        <v>#REF!</v>
      </c>
      <c r="U142" s="18" t="e">
        <f t="shared" si="3"/>
        <v>#REF!</v>
      </c>
      <c r="V142" s="95" t="e">
        <f t="shared" si="8"/>
        <v>#REF!</v>
      </c>
      <c r="W142" s="104" t="e">
        <f t="shared" si="11"/>
        <v>#REF!</v>
      </c>
    </row>
    <row r="143" spans="2:23" x14ac:dyDescent="0.2">
      <c r="B143" s="102">
        <f t="shared" si="4"/>
        <v>0.05</v>
      </c>
      <c r="C143" s="18" t="e">
        <f t="shared" si="12"/>
        <v>#REF!</v>
      </c>
      <c r="D143" s="18" t="e">
        <f t="shared" si="12"/>
        <v>#REF!</v>
      </c>
      <c r="E143" s="95" t="e">
        <f t="shared" si="9"/>
        <v>#REF!</v>
      </c>
      <c r="F143" s="104" t="e">
        <f t="shared" si="10"/>
        <v>#REF!</v>
      </c>
      <c r="S143" s="102">
        <f t="shared" si="6"/>
        <v>0.875</v>
      </c>
      <c r="T143" s="18" t="e">
        <f t="shared" si="13"/>
        <v>#REF!</v>
      </c>
      <c r="U143" s="18" t="e">
        <f t="shared" si="3"/>
        <v>#REF!</v>
      </c>
      <c r="V143" s="95" t="e">
        <f t="shared" si="8"/>
        <v>#REF!</v>
      </c>
      <c r="W143" s="104" t="e">
        <f t="shared" si="11"/>
        <v>#REF!</v>
      </c>
    </row>
    <row r="144" spans="2:23" x14ac:dyDescent="0.2">
      <c r="B144" s="102">
        <f t="shared" si="4"/>
        <v>5.0599999999999999E-2</v>
      </c>
      <c r="C144" s="18" t="e">
        <f t="shared" si="12"/>
        <v>#REF!</v>
      </c>
      <c r="D144" s="18" t="e">
        <f t="shared" si="12"/>
        <v>#REF!</v>
      </c>
      <c r="E144" s="95" t="e">
        <f t="shared" si="9"/>
        <v>#REF!</v>
      </c>
      <c r="F144" s="104" t="e">
        <f t="shared" si="10"/>
        <v>#REF!</v>
      </c>
      <c r="S144" s="102">
        <f t="shared" si="6"/>
        <v>0.88</v>
      </c>
      <c r="T144" s="18" t="e">
        <f t="shared" si="13"/>
        <v>#REF!</v>
      </c>
      <c r="U144" s="18" t="e">
        <f t="shared" si="3"/>
        <v>#REF!</v>
      </c>
      <c r="V144" s="95" t="e">
        <f t="shared" si="8"/>
        <v>#REF!</v>
      </c>
      <c r="W144" s="104" t="e">
        <f t="shared" si="11"/>
        <v>#REF!</v>
      </c>
    </row>
    <row r="145" spans="2:23" x14ac:dyDescent="0.2">
      <c r="B145" s="102">
        <f t="shared" si="4"/>
        <v>5.1200000000000002E-2</v>
      </c>
      <c r="C145" s="18" t="e">
        <f t="shared" si="12"/>
        <v>#REF!</v>
      </c>
      <c r="D145" s="18" t="e">
        <f t="shared" si="12"/>
        <v>#REF!</v>
      </c>
      <c r="E145" s="95" t="e">
        <f t="shared" si="9"/>
        <v>#REF!</v>
      </c>
      <c r="F145" s="104" t="e">
        <f t="shared" si="10"/>
        <v>#REF!</v>
      </c>
      <c r="S145" s="102">
        <f t="shared" si="6"/>
        <v>0.88500000000000001</v>
      </c>
      <c r="T145" s="18" t="e">
        <f t="shared" si="13"/>
        <v>#REF!</v>
      </c>
      <c r="U145" s="18" t="e">
        <f t="shared" si="3"/>
        <v>#REF!</v>
      </c>
      <c r="V145" s="95" t="e">
        <f t="shared" si="8"/>
        <v>#REF!</v>
      </c>
      <c r="W145" s="104" t="e">
        <f t="shared" si="11"/>
        <v>#REF!</v>
      </c>
    </row>
    <row r="146" spans="2:23" x14ac:dyDescent="0.2">
      <c r="B146" s="102">
        <f t="shared" si="4"/>
        <v>5.1799999999999999E-2</v>
      </c>
      <c r="C146" s="18" t="e">
        <f t="shared" si="12"/>
        <v>#REF!</v>
      </c>
      <c r="D146" s="18" t="e">
        <f t="shared" si="12"/>
        <v>#REF!</v>
      </c>
      <c r="E146" s="95" t="e">
        <f t="shared" si="9"/>
        <v>#REF!</v>
      </c>
      <c r="F146" s="104" t="e">
        <f t="shared" si="10"/>
        <v>#REF!</v>
      </c>
      <c r="S146" s="102">
        <f t="shared" si="6"/>
        <v>0.89</v>
      </c>
      <c r="T146" s="18" t="e">
        <f t="shared" si="13"/>
        <v>#REF!</v>
      </c>
      <c r="U146" s="18" t="e">
        <f t="shared" si="3"/>
        <v>#REF!</v>
      </c>
      <c r="V146" s="95" t="e">
        <f t="shared" si="8"/>
        <v>#REF!</v>
      </c>
      <c r="W146" s="104" t="e">
        <f t="shared" si="11"/>
        <v>#REF!</v>
      </c>
    </row>
    <row r="147" spans="2:23" x14ac:dyDescent="0.2">
      <c r="B147" s="102">
        <f t="shared" si="4"/>
        <v>5.2400000000000002E-2</v>
      </c>
      <c r="C147" s="18" t="e">
        <f t="shared" si="12"/>
        <v>#REF!</v>
      </c>
      <c r="D147" s="18" t="e">
        <f t="shared" si="12"/>
        <v>#REF!</v>
      </c>
      <c r="E147" s="95" t="e">
        <f t="shared" si="9"/>
        <v>#REF!</v>
      </c>
      <c r="F147" s="104" t="e">
        <f t="shared" si="10"/>
        <v>#REF!</v>
      </c>
      <c r="S147" s="102">
        <f t="shared" si="6"/>
        <v>0.89500000000000002</v>
      </c>
      <c r="T147" s="18" t="e">
        <f t="shared" si="13"/>
        <v>#REF!</v>
      </c>
      <c r="U147" s="18" t="e">
        <f t="shared" si="3"/>
        <v>#REF!</v>
      </c>
      <c r="V147" s="95" t="e">
        <f t="shared" si="8"/>
        <v>#REF!</v>
      </c>
      <c r="W147" s="104" t="e">
        <f t="shared" si="11"/>
        <v>#REF!</v>
      </c>
    </row>
    <row r="148" spans="2:23" x14ac:dyDescent="0.2">
      <c r="B148" s="102">
        <f t="shared" si="4"/>
        <v>5.2999999999999999E-2</v>
      </c>
      <c r="C148" s="18" t="e">
        <f t="shared" si="12"/>
        <v>#REF!</v>
      </c>
      <c r="D148" s="18" t="e">
        <f t="shared" si="12"/>
        <v>#REF!</v>
      </c>
      <c r="E148" s="95" t="e">
        <f t="shared" si="9"/>
        <v>#REF!</v>
      </c>
      <c r="F148" s="104" t="e">
        <f t="shared" si="10"/>
        <v>#REF!</v>
      </c>
      <c r="S148" s="102">
        <f t="shared" si="6"/>
        <v>0.9</v>
      </c>
      <c r="T148" s="18" t="e">
        <f t="shared" si="13"/>
        <v>#REF!</v>
      </c>
      <c r="U148" s="18" t="e">
        <f t="shared" si="3"/>
        <v>#REF!</v>
      </c>
      <c r="V148" s="95" t="e">
        <f t="shared" si="8"/>
        <v>#REF!</v>
      </c>
      <c r="W148" s="104" t="e">
        <f t="shared" si="11"/>
        <v>#REF!</v>
      </c>
    </row>
    <row r="149" spans="2:23" x14ac:dyDescent="0.2">
      <c r="B149" s="102">
        <f t="shared" si="4"/>
        <v>5.3600000000000002E-2</v>
      </c>
      <c r="C149" s="18" t="e">
        <f t="shared" si="12"/>
        <v>#REF!</v>
      </c>
      <c r="D149" s="18" t="e">
        <f t="shared" si="12"/>
        <v>#REF!</v>
      </c>
      <c r="E149" s="95" t="e">
        <f t="shared" si="9"/>
        <v>#REF!</v>
      </c>
      <c r="F149" s="104" t="e">
        <f t="shared" si="10"/>
        <v>#REF!</v>
      </c>
      <c r="S149" s="102">
        <f t="shared" si="6"/>
        <v>0.90500000000000003</v>
      </c>
      <c r="T149" s="18" t="e">
        <f t="shared" si="13"/>
        <v>#REF!</v>
      </c>
      <c r="U149" s="18" t="e">
        <f t="shared" si="3"/>
        <v>#REF!</v>
      </c>
      <c r="V149" s="95" t="e">
        <f t="shared" si="8"/>
        <v>#REF!</v>
      </c>
      <c r="W149" s="104" t="e">
        <f t="shared" si="11"/>
        <v>#REF!</v>
      </c>
    </row>
    <row r="150" spans="2:23" x14ac:dyDescent="0.2">
      <c r="B150" s="102">
        <f t="shared" si="4"/>
        <v>5.4199999999999998E-2</v>
      </c>
      <c r="C150" s="18" t="e">
        <f t="shared" si="12"/>
        <v>#REF!</v>
      </c>
      <c r="D150" s="18" t="e">
        <f t="shared" si="12"/>
        <v>#REF!</v>
      </c>
      <c r="E150" s="95" t="e">
        <f t="shared" si="9"/>
        <v>#REF!</v>
      </c>
      <c r="F150" s="104" t="e">
        <f t="shared" si="10"/>
        <v>#REF!</v>
      </c>
      <c r="S150" s="102">
        <f t="shared" si="6"/>
        <v>0.91</v>
      </c>
      <c r="T150" s="18" t="e">
        <f t="shared" si="13"/>
        <v>#REF!</v>
      </c>
      <c r="U150" s="18" t="e">
        <f t="shared" si="3"/>
        <v>#REF!</v>
      </c>
      <c r="V150" s="95" t="e">
        <f t="shared" si="8"/>
        <v>#REF!</v>
      </c>
      <c r="W150" s="104" t="e">
        <f t="shared" si="11"/>
        <v>#REF!</v>
      </c>
    </row>
    <row r="151" spans="2:23" x14ac:dyDescent="0.2">
      <c r="B151" s="102">
        <f t="shared" si="4"/>
        <v>5.4800000000000001E-2</v>
      </c>
      <c r="C151" s="18" t="e">
        <f t="shared" si="12"/>
        <v>#REF!</v>
      </c>
      <c r="D151" s="18" t="e">
        <f t="shared" si="12"/>
        <v>#REF!</v>
      </c>
      <c r="E151" s="95" t="e">
        <f t="shared" si="9"/>
        <v>#REF!</v>
      </c>
      <c r="F151" s="104" t="e">
        <f t="shared" si="10"/>
        <v>#REF!</v>
      </c>
      <c r="S151" s="102">
        <f t="shared" si="6"/>
        <v>0.91500000000000004</v>
      </c>
      <c r="T151" s="18" t="e">
        <f t="shared" si="13"/>
        <v>#REF!</v>
      </c>
      <c r="U151" s="18" t="e">
        <f t="shared" si="3"/>
        <v>#REF!</v>
      </c>
      <c r="V151" s="95" t="e">
        <f t="shared" si="8"/>
        <v>#REF!</v>
      </c>
      <c r="W151" s="104" t="e">
        <f t="shared" si="11"/>
        <v>#REF!</v>
      </c>
    </row>
    <row r="152" spans="2:23" x14ac:dyDescent="0.2">
      <c r="B152" s="102">
        <f t="shared" si="4"/>
        <v>5.5399999999999998E-2</v>
      </c>
      <c r="C152" s="18" t="e">
        <f t="shared" si="12"/>
        <v>#REF!</v>
      </c>
      <c r="D152" s="18" t="e">
        <f t="shared" si="12"/>
        <v>#REF!</v>
      </c>
      <c r="E152" s="95" t="e">
        <f t="shared" si="9"/>
        <v>#REF!</v>
      </c>
      <c r="F152" s="104" t="e">
        <f t="shared" si="10"/>
        <v>#REF!</v>
      </c>
      <c r="S152" s="102">
        <f t="shared" si="6"/>
        <v>0.92</v>
      </c>
      <c r="T152" s="18" t="e">
        <f t="shared" si="13"/>
        <v>#REF!</v>
      </c>
      <c r="U152" s="18" t="e">
        <f t="shared" si="3"/>
        <v>#REF!</v>
      </c>
      <c r="V152" s="95" t="e">
        <f t="shared" si="8"/>
        <v>#REF!</v>
      </c>
      <c r="W152" s="104" t="e">
        <f t="shared" si="11"/>
        <v>#REF!</v>
      </c>
    </row>
    <row r="153" spans="2:23" x14ac:dyDescent="0.2">
      <c r="B153" s="102">
        <f t="shared" si="4"/>
        <v>5.6000000000000001E-2</v>
      </c>
      <c r="C153" s="18" t="e">
        <f t="shared" si="12"/>
        <v>#REF!</v>
      </c>
      <c r="D153" s="18" t="e">
        <f t="shared" si="12"/>
        <v>#REF!</v>
      </c>
      <c r="E153" s="95" t="e">
        <f t="shared" si="9"/>
        <v>#REF!</v>
      </c>
      <c r="F153" s="104" t="e">
        <f t="shared" si="10"/>
        <v>#REF!</v>
      </c>
      <c r="S153" s="102">
        <f t="shared" si="6"/>
        <v>0.92500000000000004</v>
      </c>
      <c r="T153" s="18" t="e">
        <f t="shared" si="13"/>
        <v>#REF!</v>
      </c>
      <c r="U153" s="18" t="e">
        <f t="shared" si="3"/>
        <v>#REF!</v>
      </c>
      <c r="V153" s="95" t="e">
        <f t="shared" si="8"/>
        <v>#REF!</v>
      </c>
      <c r="W153" s="104" t="e">
        <f t="shared" si="11"/>
        <v>#REF!</v>
      </c>
    </row>
    <row r="154" spans="2:23" x14ac:dyDescent="0.2">
      <c r="B154" s="102">
        <f t="shared" si="4"/>
        <v>5.6599999999999998E-2</v>
      </c>
      <c r="C154" s="18" t="e">
        <f t="shared" si="12"/>
        <v>#REF!</v>
      </c>
      <c r="D154" s="18" t="e">
        <f t="shared" si="12"/>
        <v>#REF!</v>
      </c>
      <c r="E154" s="95" t="e">
        <f t="shared" si="9"/>
        <v>#REF!</v>
      </c>
      <c r="F154" s="104" t="e">
        <f t="shared" si="10"/>
        <v>#REF!</v>
      </c>
      <c r="S154" s="102">
        <f t="shared" si="6"/>
        <v>0.93</v>
      </c>
      <c r="T154" s="18" t="e">
        <f t="shared" si="13"/>
        <v>#REF!</v>
      </c>
      <c r="U154" s="18" t="e">
        <f t="shared" si="3"/>
        <v>#REF!</v>
      </c>
      <c r="V154" s="95" t="e">
        <f t="shared" si="8"/>
        <v>#REF!</v>
      </c>
      <c r="W154" s="104" t="e">
        <f t="shared" si="11"/>
        <v>#REF!</v>
      </c>
    </row>
    <row r="155" spans="2:23" x14ac:dyDescent="0.2">
      <c r="B155" s="102">
        <f t="shared" si="4"/>
        <v>5.7200000000000001E-2</v>
      </c>
      <c r="C155" s="18" t="e">
        <f t="shared" si="12"/>
        <v>#REF!</v>
      </c>
      <c r="D155" s="18" t="e">
        <f t="shared" si="12"/>
        <v>#REF!</v>
      </c>
      <c r="E155" s="95" t="e">
        <f t="shared" si="9"/>
        <v>#REF!</v>
      </c>
      <c r="F155" s="104" t="e">
        <f t="shared" si="10"/>
        <v>#REF!</v>
      </c>
      <c r="S155" s="102">
        <f t="shared" si="6"/>
        <v>0.93500000000000005</v>
      </c>
      <c r="T155" s="18" t="e">
        <f t="shared" si="13"/>
        <v>#REF!</v>
      </c>
      <c r="U155" s="18" t="e">
        <f t="shared" si="3"/>
        <v>#REF!</v>
      </c>
      <c r="V155" s="95" t="e">
        <f t="shared" si="8"/>
        <v>#REF!</v>
      </c>
      <c r="W155" s="104" t="e">
        <f t="shared" si="11"/>
        <v>#REF!</v>
      </c>
    </row>
    <row r="156" spans="2:23" x14ac:dyDescent="0.2">
      <c r="B156" s="102">
        <f t="shared" si="4"/>
        <v>5.7799999999999997E-2</v>
      </c>
      <c r="C156" s="18" t="e">
        <f t="shared" si="12"/>
        <v>#REF!</v>
      </c>
      <c r="D156" s="18" t="e">
        <f t="shared" si="12"/>
        <v>#REF!</v>
      </c>
      <c r="E156" s="95" t="e">
        <f t="shared" si="9"/>
        <v>#REF!</v>
      </c>
      <c r="F156" s="104" t="e">
        <f t="shared" si="10"/>
        <v>#REF!</v>
      </c>
      <c r="S156" s="102">
        <f t="shared" si="6"/>
        <v>0.94</v>
      </c>
      <c r="T156" s="18" t="e">
        <f t="shared" si="13"/>
        <v>#REF!</v>
      </c>
      <c r="U156" s="18" t="e">
        <f t="shared" si="3"/>
        <v>#REF!</v>
      </c>
      <c r="V156" s="95" t="e">
        <f t="shared" si="8"/>
        <v>#REF!</v>
      </c>
      <c r="W156" s="104" t="e">
        <f t="shared" si="11"/>
        <v>#REF!</v>
      </c>
    </row>
    <row r="157" spans="2:23" x14ac:dyDescent="0.2">
      <c r="B157" s="102">
        <f t="shared" si="4"/>
        <v>5.8400000000000001E-2</v>
      </c>
      <c r="C157" s="18" t="e">
        <f t="shared" si="12"/>
        <v>#REF!</v>
      </c>
      <c r="D157" s="18" t="e">
        <f t="shared" si="12"/>
        <v>#REF!</v>
      </c>
      <c r="E157" s="95" t="e">
        <f t="shared" si="9"/>
        <v>#REF!</v>
      </c>
      <c r="F157" s="104" t="e">
        <f t="shared" si="10"/>
        <v>#REF!</v>
      </c>
      <c r="S157" s="102">
        <f t="shared" si="6"/>
        <v>0.94499999999999995</v>
      </c>
      <c r="T157" s="18" t="e">
        <f t="shared" si="13"/>
        <v>#REF!</v>
      </c>
      <c r="U157" s="18" t="e">
        <f t="shared" si="3"/>
        <v>#REF!</v>
      </c>
      <c r="V157" s="95" t="e">
        <f t="shared" si="8"/>
        <v>#REF!</v>
      </c>
      <c r="W157" s="104" t="e">
        <f t="shared" si="11"/>
        <v>#REF!</v>
      </c>
    </row>
    <row r="158" spans="2:23" x14ac:dyDescent="0.2">
      <c r="B158" s="102">
        <f t="shared" si="4"/>
        <v>5.8999999999999997E-2</v>
      </c>
      <c r="C158" s="18" t="e">
        <f t="shared" ref="C158:D177" si="14">INDEX($C$14:$Q$114,MATCH($B158,$B$14:$B$114,0),MATCH(C$117,$C$13:$Q$13,0))</f>
        <v>#REF!</v>
      </c>
      <c r="D158" s="18" t="e">
        <f t="shared" si="14"/>
        <v>#REF!</v>
      </c>
      <c r="E158" s="95" t="e">
        <f t="shared" si="9"/>
        <v>#REF!</v>
      </c>
      <c r="F158" s="104" t="e">
        <f t="shared" si="10"/>
        <v>#REF!</v>
      </c>
      <c r="S158" s="102">
        <f t="shared" si="6"/>
        <v>0.95</v>
      </c>
      <c r="T158" s="18" t="e">
        <f t="shared" si="13"/>
        <v>#REF!</v>
      </c>
      <c r="U158" s="18" t="e">
        <f t="shared" si="3"/>
        <v>#REF!</v>
      </c>
      <c r="V158" s="95" t="e">
        <f t="shared" si="8"/>
        <v>#REF!</v>
      </c>
      <c r="W158" s="104" t="e">
        <f t="shared" si="11"/>
        <v>#REF!</v>
      </c>
    </row>
    <row r="159" spans="2:23" x14ac:dyDescent="0.2">
      <c r="B159" s="102">
        <f t="shared" si="4"/>
        <v>5.96E-2</v>
      </c>
      <c r="C159" s="18" t="e">
        <f t="shared" si="14"/>
        <v>#REF!</v>
      </c>
      <c r="D159" s="18" t="e">
        <f t="shared" si="14"/>
        <v>#REF!</v>
      </c>
      <c r="E159" s="95" t="e">
        <f t="shared" si="9"/>
        <v>#REF!</v>
      </c>
      <c r="F159" s="104" t="e">
        <f t="shared" si="10"/>
        <v>#REF!</v>
      </c>
      <c r="S159" s="102">
        <f t="shared" si="6"/>
        <v>0.95499999999999996</v>
      </c>
      <c r="T159" s="18" t="e">
        <f t="shared" ref="T159:T178" si="15">INDEX($T$14:$AH$114,MATCH($S159,$S$14:$S$114,0),MATCH(T$117,$T$13:$AH$13,0))</f>
        <v>#REF!</v>
      </c>
      <c r="U159" s="18" t="e">
        <f t="shared" si="3"/>
        <v>#REF!</v>
      </c>
      <c r="V159" s="95" t="e">
        <f t="shared" si="8"/>
        <v>#REF!</v>
      </c>
      <c r="W159" s="104" t="e">
        <f t="shared" si="11"/>
        <v>#REF!</v>
      </c>
    </row>
    <row r="160" spans="2:23" x14ac:dyDescent="0.2">
      <c r="B160" s="102">
        <f t="shared" si="4"/>
        <v>6.0199999999999997E-2</v>
      </c>
      <c r="C160" s="18" t="e">
        <f t="shared" si="14"/>
        <v>#REF!</v>
      </c>
      <c r="D160" s="18" t="e">
        <f t="shared" si="14"/>
        <v>#REF!</v>
      </c>
      <c r="E160" s="95" t="e">
        <f t="shared" si="9"/>
        <v>#REF!</v>
      </c>
      <c r="F160" s="104" t="e">
        <f t="shared" si="10"/>
        <v>#REF!</v>
      </c>
      <c r="S160" s="102">
        <f t="shared" si="6"/>
        <v>0.96</v>
      </c>
      <c r="T160" s="18" t="e">
        <f t="shared" si="15"/>
        <v>#REF!</v>
      </c>
      <c r="U160" s="18" t="e">
        <f t="shared" si="3"/>
        <v>#REF!</v>
      </c>
      <c r="V160" s="95" t="e">
        <f t="shared" si="8"/>
        <v>#REF!</v>
      </c>
      <c r="W160" s="104" t="e">
        <f t="shared" si="11"/>
        <v>#REF!</v>
      </c>
    </row>
    <row r="161" spans="2:23" x14ac:dyDescent="0.2">
      <c r="B161" s="102">
        <f t="shared" si="4"/>
        <v>6.08E-2</v>
      </c>
      <c r="C161" s="18" t="e">
        <f t="shared" si="14"/>
        <v>#REF!</v>
      </c>
      <c r="D161" s="18" t="e">
        <f t="shared" si="14"/>
        <v>#REF!</v>
      </c>
      <c r="E161" s="95" t="e">
        <f t="shared" si="9"/>
        <v>#REF!</v>
      </c>
      <c r="F161" s="104" t="e">
        <f t="shared" si="10"/>
        <v>#REF!</v>
      </c>
      <c r="S161" s="102">
        <f t="shared" si="6"/>
        <v>0.96499999999999997</v>
      </c>
      <c r="T161" s="18" t="e">
        <f t="shared" si="15"/>
        <v>#REF!</v>
      </c>
      <c r="U161" s="18" t="e">
        <f t="shared" si="3"/>
        <v>#REF!</v>
      </c>
      <c r="V161" s="95" t="e">
        <f t="shared" si="8"/>
        <v>#REF!</v>
      </c>
      <c r="W161" s="104" t="e">
        <f t="shared" si="11"/>
        <v>#REF!</v>
      </c>
    </row>
    <row r="162" spans="2:23" x14ac:dyDescent="0.2">
      <c r="B162" s="102">
        <f t="shared" si="4"/>
        <v>6.1400000000000003E-2</v>
      </c>
      <c r="C162" s="18" t="e">
        <f t="shared" si="14"/>
        <v>#REF!</v>
      </c>
      <c r="D162" s="18" t="e">
        <f t="shared" si="14"/>
        <v>#REF!</v>
      </c>
      <c r="E162" s="95" t="e">
        <f t="shared" si="9"/>
        <v>#REF!</v>
      </c>
      <c r="F162" s="104" t="e">
        <f t="shared" si="10"/>
        <v>#REF!</v>
      </c>
      <c r="S162" s="102">
        <f t="shared" si="6"/>
        <v>0.97</v>
      </c>
      <c r="T162" s="18" t="e">
        <f t="shared" si="15"/>
        <v>#REF!</v>
      </c>
      <c r="U162" s="18" t="e">
        <f t="shared" si="3"/>
        <v>#REF!</v>
      </c>
      <c r="V162" s="95" t="e">
        <f t="shared" si="8"/>
        <v>#REF!</v>
      </c>
      <c r="W162" s="104" t="e">
        <f t="shared" si="11"/>
        <v>#REF!</v>
      </c>
    </row>
    <row r="163" spans="2:23" x14ac:dyDescent="0.2">
      <c r="B163" s="102">
        <f t="shared" si="4"/>
        <v>6.2E-2</v>
      </c>
      <c r="C163" s="18" t="e">
        <f t="shared" si="14"/>
        <v>#REF!</v>
      </c>
      <c r="D163" s="18" t="e">
        <f t="shared" si="14"/>
        <v>#REF!</v>
      </c>
      <c r="E163" s="95" t="e">
        <f t="shared" si="9"/>
        <v>#REF!</v>
      </c>
      <c r="F163" s="104" t="e">
        <f t="shared" si="10"/>
        <v>#REF!</v>
      </c>
      <c r="S163" s="102">
        <f t="shared" si="6"/>
        <v>0.97499999999999998</v>
      </c>
      <c r="T163" s="18" t="e">
        <f t="shared" si="15"/>
        <v>#REF!</v>
      </c>
      <c r="U163" s="18" t="e">
        <f t="shared" si="3"/>
        <v>#REF!</v>
      </c>
      <c r="V163" s="95" t="e">
        <f t="shared" si="8"/>
        <v>#REF!</v>
      </c>
      <c r="W163" s="104" t="e">
        <f t="shared" si="11"/>
        <v>#REF!</v>
      </c>
    </row>
    <row r="164" spans="2:23" x14ac:dyDescent="0.2">
      <c r="B164" s="102">
        <f t="shared" si="4"/>
        <v>6.2600000000000003E-2</v>
      </c>
      <c r="C164" s="18" t="e">
        <f t="shared" si="14"/>
        <v>#REF!</v>
      </c>
      <c r="D164" s="18" t="e">
        <f t="shared" si="14"/>
        <v>#REF!</v>
      </c>
      <c r="E164" s="95" t="e">
        <f t="shared" si="9"/>
        <v>#REF!</v>
      </c>
      <c r="F164" s="104" t="e">
        <f t="shared" si="10"/>
        <v>#REF!</v>
      </c>
      <c r="S164" s="102">
        <f t="shared" si="6"/>
        <v>0.98</v>
      </c>
      <c r="T164" s="18" t="e">
        <f t="shared" si="15"/>
        <v>#REF!</v>
      </c>
      <c r="U164" s="18" t="e">
        <f t="shared" si="3"/>
        <v>#REF!</v>
      </c>
      <c r="V164" s="95" t="e">
        <f t="shared" si="8"/>
        <v>#REF!</v>
      </c>
      <c r="W164" s="104" t="e">
        <f t="shared" si="11"/>
        <v>#REF!</v>
      </c>
    </row>
    <row r="165" spans="2:23" x14ac:dyDescent="0.2">
      <c r="B165" s="102">
        <f t="shared" si="4"/>
        <v>6.3200000000000006E-2</v>
      </c>
      <c r="C165" s="18" t="e">
        <f t="shared" si="14"/>
        <v>#REF!</v>
      </c>
      <c r="D165" s="18" t="e">
        <f t="shared" si="14"/>
        <v>#REF!</v>
      </c>
      <c r="E165" s="95" t="e">
        <f t="shared" si="9"/>
        <v>#REF!</v>
      </c>
      <c r="F165" s="104" t="e">
        <f t="shared" si="10"/>
        <v>#REF!</v>
      </c>
      <c r="S165" s="102">
        <f t="shared" si="6"/>
        <v>0.98499999999999999</v>
      </c>
      <c r="T165" s="18" t="e">
        <f t="shared" si="15"/>
        <v>#REF!</v>
      </c>
      <c r="U165" s="18" t="e">
        <f t="shared" si="3"/>
        <v>#REF!</v>
      </c>
      <c r="V165" s="95" t="e">
        <f t="shared" si="8"/>
        <v>#REF!</v>
      </c>
      <c r="W165" s="104" t="e">
        <f t="shared" si="11"/>
        <v>#REF!</v>
      </c>
    </row>
    <row r="166" spans="2:23" x14ac:dyDescent="0.2">
      <c r="B166" s="102">
        <f t="shared" si="4"/>
        <v>6.3799999999999996E-2</v>
      </c>
      <c r="C166" s="18" t="e">
        <f t="shared" si="14"/>
        <v>#REF!</v>
      </c>
      <c r="D166" s="18" t="e">
        <f t="shared" si="14"/>
        <v>#REF!</v>
      </c>
      <c r="E166" s="95" t="e">
        <f t="shared" si="9"/>
        <v>#REF!</v>
      </c>
      <c r="F166" s="104" t="e">
        <f t="shared" si="10"/>
        <v>#REF!</v>
      </c>
      <c r="S166" s="102">
        <f t="shared" si="6"/>
        <v>0.99</v>
      </c>
      <c r="T166" s="18" t="e">
        <f t="shared" si="15"/>
        <v>#REF!</v>
      </c>
      <c r="U166" s="18" t="e">
        <f t="shared" si="3"/>
        <v>#REF!</v>
      </c>
      <c r="V166" s="95" t="e">
        <f t="shared" si="8"/>
        <v>#REF!</v>
      </c>
      <c r="W166" s="104" t="e">
        <f t="shared" si="11"/>
        <v>#REF!</v>
      </c>
    </row>
    <row r="167" spans="2:23" x14ac:dyDescent="0.2">
      <c r="B167" s="102">
        <f t="shared" si="4"/>
        <v>6.4399999999999999E-2</v>
      </c>
      <c r="C167" s="18" t="e">
        <f t="shared" si="14"/>
        <v>#REF!</v>
      </c>
      <c r="D167" s="18" t="e">
        <f t="shared" si="14"/>
        <v>#REF!</v>
      </c>
      <c r="E167" s="95" t="e">
        <f t="shared" si="9"/>
        <v>#REF!</v>
      </c>
      <c r="F167" s="104" t="e">
        <f t="shared" si="10"/>
        <v>#REF!</v>
      </c>
      <c r="S167" s="102">
        <f t="shared" si="6"/>
        <v>0.995</v>
      </c>
      <c r="T167" s="18" t="e">
        <f t="shared" si="15"/>
        <v>#REF!</v>
      </c>
      <c r="U167" s="18" t="e">
        <f t="shared" si="3"/>
        <v>#REF!</v>
      </c>
      <c r="V167" s="95" t="e">
        <f t="shared" si="8"/>
        <v>#REF!</v>
      </c>
      <c r="W167" s="104" t="e">
        <f t="shared" si="11"/>
        <v>#REF!</v>
      </c>
    </row>
    <row r="168" spans="2:23" x14ac:dyDescent="0.2">
      <c r="B168" s="102">
        <f t="shared" si="4"/>
        <v>6.5000000000000002E-2</v>
      </c>
      <c r="C168" s="18" t="e">
        <f t="shared" si="14"/>
        <v>#REF!</v>
      </c>
      <c r="D168" s="18" t="e">
        <f t="shared" si="14"/>
        <v>#REF!</v>
      </c>
      <c r="E168" s="95" t="e">
        <f t="shared" si="9"/>
        <v>#REF!</v>
      </c>
      <c r="F168" s="104" t="e">
        <f t="shared" si="10"/>
        <v>#REF!</v>
      </c>
      <c r="S168" s="102">
        <f t="shared" si="6"/>
        <v>1</v>
      </c>
      <c r="T168" s="18" t="e">
        <f t="shared" si="15"/>
        <v>#REF!</v>
      </c>
      <c r="U168" s="18" t="e">
        <f t="shared" si="3"/>
        <v>#REF!</v>
      </c>
      <c r="V168" s="95" t="e">
        <f t="shared" si="8"/>
        <v>#REF!</v>
      </c>
      <c r="W168" s="104" t="e">
        <f t="shared" si="11"/>
        <v>#REF!</v>
      </c>
    </row>
    <row r="169" spans="2:23" x14ac:dyDescent="0.2">
      <c r="B169" s="102">
        <f t="shared" si="4"/>
        <v>6.5600000000000006E-2</v>
      </c>
      <c r="C169" s="18" t="e">
        <f t="shared" si="14"/>
        <v>#REF!</v>
      </c>
      <c r="D169" s="18" t="e">
        <f t="shared" si="14"/>
        <v>#REF!</v>
      </c>
      <c r="E169" s="95" t="e">
        <f t="shared" si="9"/>
        <v>#REF!</v>
      </c>
      <c r="F169" s="104" t="e">
        <f t="shared" si="10"/>
        <v>#REF!</v>
      </c>
      <c r="S169" s="102">
        <f t="shared" si="6"/>
        <v>1.0049999999999999</v>
      </c>
      <c r="T169" s="18" t="e">
        <f t="shared" si="15"/>
        <v>#REF!</v>
      </c>
      <c r="U169" s="18" t="e">
        <f t="shared" si="3"/>
        <v>#REF!</v>
      </c>
      <c r="V169" s="95" t="e">
        <f t="shared" si="8"/>
        <v>#REF!</v>
      </c>
      <c r="W169" s="104" t="e">
        <f t="shared" si="11"/>
        <v>#REF!</v>
      </c>
    </row>
    <row r="170" spans="2:23" x14ac:dyDescent="0.2">
      <c r="B170" s="102">
        <f t="shared" si="4"/>
        <v>6.6199999999999995E-2</v>
      </c>
      <c r="C170" s="18" t="e">
        <f t="shared" si="14"/>
        <v>#REF!</v>
      </c>
      <c r="D170" s="18" t="e">
        <f t="shared" si="14"/>
        <v>#REF!</v>
      </c>
      <c r="E170" s="95" t="e">
        <f t="shared" si="9"/>
        <v>#REF!</v>
      </c>
      <c r="F170" s="104" t="e">
        <f t="shared" si="10"/>
        <v>#REF!</v>
      </c>
      <c r="S170" s="102">
        <f t="shared" si="6"/>
        <v>1.01</v>
      </c>
      <c r="T170" s="18" t="e">
        <f t="shared" si="15"/>
        <v>#REF!</v>
      </c>
      <c r="U170" s="18" t="e">
        <f t="shared" si="3"/>
        <v>#REF!</v>
      </c>
      <c r="V170" s="95" t="e">
        <f t="shared" si="8"/>
        <v>#REF!</v>
      </c>
      <c r="W170" s="104" t="e">
        <f t="shared" si="11"/>
        <v>#REF!</v>
      </c>
    </row>
    <row r="171" spans="2:23" x14ac:dyDescent="0.2">
      <c r="B171" s="102">
        <f t="shared" si="4"/>
        <v>6.6799999999999998E-2</v>
      </c>
      <c r="C171" s="18" t="e">
        <f t="shared" si="14"/>
        <v>#REF!</v>
      </c>
      <c r="D171" s="18" t="e">
        <f t="shared" si="14"/>
        <v>#REF!</v>
      </c>
      <c r="E171" s="95" t="e">
        <f t="shared" si="9"/>
        <v>#REF!</v>
      </c>
      <c r="F171" s="104" t="e">
        <f t="shared" si="10"/>
        <v>#REF!</v>
      </c>
      <c r="S171" s="102">
        <f t="shared" si="6"/>
        <v>1.0149999999999999</v>
      </c>
      <c r="T171" s="18" t="e">
        <f t="shared" si="15"/>
        <v>#REF!</v>
      </c>
      <c r="U171" s="18" t="e">
        <f t="shared" si="3"/>
        <v>#REF!</v>
      </c>
      <c r="V171" s="95" t="e">
        <f t="shared" si="8"/>
        <v>#REF!</v>
      </c>
      <c r="W171" s="104" t="e">
        <f t="shared" si="11"/>
        <v>#REF!</v>
      </c>
    </row>
    <row r="172" spans="2:23" x14ac:dyDescent="0.2">
      <c r="B172" s="102">
        <f t="shared" si="4"/>
        <v>6.7400000000000002E-2</v>
      </c>
      <c r="C172" s="18" t="e">
        <f t="shared" si="14"/>
        <v>#REF!</v>
      </c>
      <c r="D172" s="18" t="e">
        <f t="shared" si="14"/>
        <v>#REF!</v>
      </c>
      <c r="E172" s="95" t="e">
        <f t="shared" si="9"/>
        <v>#REF!</v>
      </c>
      <c r="F172" s="104" t="e">
        <f t="shared" si="10"/>
        <v>#REF!</v>
      </c>
      <c r="S172" s="102">
        <f t="shared" si="6"/>
        <v>1.02</v>
      </c>
      <c r="T172" s="18" t="e">
        <f t="shared" si="15"/>
        <v>#REF!</v>
      </c>
      <c r="U172" s="18" t="e">
        <f t="shared" si="3"/>
        <v>#REF!</v>
      </c>
      <c r="V172" s="95" t="e">
        <f t="shared" si="8"/>
        <v>#REF!</v>
      </c>
      <c r="W172" s="104" t="e">
        <f t="shared" si="11"/>
        <v>#REF!</v>
      </c>
    </row>
    <row r="173" spans="2:23" x14ac:dyDescent="0.2">
      <c r="B173" s="102">
        <f t="shared" si="4"/>
        <v>6.8000000000000005E-2</v>
      </c>
      <c r="C173" s="18" t="e">
        <f t="shared" si="14"/>
        <v>#REF!</v>
      </c>
      <c r="D173" s="18" t="e">
        <f t="shared" si="14"/>
        <v>#REF!</v>
      </c>
      <c r="E173" s="95" t="e">
        <f t="shared" si="9"/>
        <v>#REF!</v>
      </c>
      <c r="F173" s="104" t="e">
        <f t="shared" si="10"/>
        <v>#REF!</v>
      </c>
      <c r="S173" s="102">
        <f t="shared" si="6"/>
        <v>1.0249999999999999</v>
      </c>
      <c r="T173" s="18" t="e">
        <f t="shared" si="15"/>
        <v>#REF!</v>
      </c>
      <c r="U173" s="18" t="e">
        <f t="shared" si="3"/>
        <v>#REF!</v>
      </c>
      <c r="V173" s="95" t="e">
        <f t="shared" si="8"/>
        <v>#REF!</v>
      </c>
      <c r="W173" s="104" t="e">
        <f t="shared" si="11"/>
        <v>#REF!</v>
      </c>
    </row>
    <row r="174" spans="2:23" x14ac:dyDescent="0.2">
      <c r="B174" s="102">
        <f t="shared" si="4"/>
        <v>6.8599999999999994E-2</v>
      </c>
      <c r="C174" s="18" t="e">
        <f t="shared" si="14"/>
        <v>#REF!</v>
      </c>
      <c r="D174" s="18" t="e">
        <f t="shared" si="14"/>
        <v>#REF!</v>
      </c>
      <c r="E174" s="95" t="e">
        <f t="shared" si="9"/>
        <v>#REF!</v>
      </c>
      <c r="F174" s="104" t="e">
        <f t="shared" si="10"/>
        <v>#REF!</v>
      </c>
      <c r="S174" s="102">
        <f t="shared" si="6"/>
        <v>1.03</v>
      </c>
      <c r="T174" s="18" t="e">
        <f t="shared" si="15"/>
        <v>#REF!</v>
      </c>
      <c r="U174" s="18" t="e">
        <f t="shared" si="3"/>
        <v>#REF!</v>
      </c>
      <c r="V174" s="95" t="e">
        <f t="shared" si="8"/>
        <v>#REF!</v>
      </c>
      <c r="W174" s="104" t="e">
        <f t="shared" si="11"/>
        <v>#REF!</v>
      </c>
    </row>
    <row r="175" spans="2:23" x14ac:dyDescent="0.2">
      <c r="B175" s="102">
        <f t="shared" si="4"/>
        <v>6.9199999999999998E-2</v>
      </c>
      <c r="C175" s="18" t="e">
        <f t="shared" si="14"/>
        <v>#REF!</v>
      </c>
      <c r="D175" s="18" t="e">
        <f t="shared" si="14"/>
        <v>#REF!</v>
      </c>
      <c r="E175" s="95" t="e">
        <f t="shared" si="9"/>
        <v>#REF!</v>
      </c>
      <c r="F175" s="104" t="e">
        <f t="shared" si="10"/>
        <v>#REF!</v>
      </c>
      <c r="S175" s="102">
        <f t="shared" si="6"/>
        <v>1.0349999999999999</v>
      </c>
      <c r="T175" s="18" t="e">
        <f t="shared" si="15"/>
        <v>#REF!</v>
      </c>
      <c r="U175" s="18" t="e">
        <f t="shared" si="3"/>
        <v>#REF!</v>
      </c>
      <c r="V175" s="95" t="e">
        <f t="shared" si="8"/>
        <v>#REF!</v>
      </c>
      <c r="W175" s="104" t="e">
        <f t="shared" si="11"/>
        <v>#REF!</v>
      </c>
    </row>
    <row r="176" spans="2:23" x14ac:dyDescent="0.2">
      <c r="B176" s="102">
        <f t="shared" si="4"/>
        <v>6.9800000000000001E-2</v>
      </c>
      <c r="C176" s="18" t="e">
        <f t="shared" si="14"/>
        <v>#REF!</v>
      </c>
      <c r="D176" s="18" t="e">
        <f t="shared" si="14"/>
        <v>#REF!</v>
      </c>
      <c r="E176" s="95" t="e">
        <f t="shared" si="9"/>
        <v>#REF!</v>
      </c>
      <c r="F176" s="104" t="e">
        <f t="shared" si="10"/>
        <v>#REF!</v>
      </c>
      <c r="S176" s="102">
        <f t="shared" si="6"/>
        <v>1.04</v>
      </c>
      <c r="T176" s="18" t="e">
        <f t="shared" si="15"/>
        <v>#REF!</v>
      </c>
      <c r="U176" s="18" t="e">
        <f t="shared" si="3"/>
        <v>#REF!</v>
      </c>
      <c r="V176" s="95" t="e">
        <f t="shared" si="8"/>
        <v>#REF!</v>
      </c>
      <c r="W176" s="104" t="e">
        <f t="shared" si="11"/>
        <v>#REF!</v>
      </c>
    </row>
    <row r="177" spans="2:23" x14ac:dyDescent="0.2">
      <c r="B177" s="102">
        <f t="shared" si="4"/>
        <v>7.0400000000000004E-2</v>
      </c>
      <c r="C177" s="18" t="e">
        <f t="shared" si="14"/>
        <v>#REF!</v>
      </c>
      <c r="D177" s="18" t="e">
        <f t="shared" si="14"/>
        <v>#REF!</v>
      </c>
      <c r="E177" s="95" t="e">
        <f t="shared" si="9"/>
        <v>#REF!</v>
      </c>
      <c r="F177" s="104" t="e">
        <f t="shared" si="10"/>
        <v>#REF!</v>
      </c>
      <c r="S177" s="102">
        <f t="shared" si="6"/>
        <v>1.0449999999999999</v>
      </c>
      <c r="T177" s="18" t="e">
        <f t="shared" si="15"/>
        <v>#REF!</v>
      </c>
      <c r="U177" s="18" t="e">
        <f t="shared" si="3"/>
        <v>#REF!</v>
      </c>
      <c r="V177" s="95" t="e">
        <f t="shared" si="8"/>
        <v>#REF!</v>
      </c>
      <c r="W177" s="104" t="e">
        <f t="shared" si="11"/>
        <v>#REF!</v>
      </c>
    </row>
    <row r="178" spans="2:23" x14ac:dyDescent="0.2">
      <c r="B178" s="102">
        <f t="shared" si="4"/>
        <v>7.0999999999999994E-2</v>
      </c>
      <c r="C178" s="18" t="e">
        <f t="shared" ref="C178:D197" si="16">INDEX($C$14:$Q$114,MATCH($B178,$B$14:$B$114,0),MATCH(C$117,$C$13:$Q$13,0))</f>
        <v>#REF!</v>
      </c>
      <c r="D178" s="18" t="e">
        <f t="shared" si="16"/>
        <v>#REF!</v>
      </c>
      <c r="E178" s="95" t="e">
        <f t="shared" si="9"/>
        <v>#REF!</v>
      </c>
      <c r="F178" s="104" t="e">
        <f t="shared" si="10"/>
        <v>#REF!</v>
      </c>
      <c r="S178" s="102">
        <f t="shared" si="6"/>
        <v>1.05</v>
      </c>
      <c r="T178" s="18" t="e">
        <f t="shared" si="15"/>
        <v>#REF!</v>
      </c>
      <c r="U178" s="18" t="e">
        <f t="shared" si="3"/>
        <v>#REF!</v>
      </c>
      <c r="V178" s="95" t="e">
        <f t="shared" si="8"/>
        <v>#REF!</v>
      </c>
      <c r="W178" s="104" t="e">
        <f t="shared" si="11"/>
        <v>#REF!</v>
      </c>
    </row>
    <row r="179" spans="2:23" x14ac:dyDescent="0.2">
      <c r="B179" s="102">
        <f t="shared" si="4"/>
        <v>7.1599999999999997E-2</v>
      </c>
      <c r="C179" s="18" t="e">
        <f t="shared" si="16"/>
        <v>#REF!</v>
      </c>
      <c r="D179" s="18" t="e">
        <f t="shared" si="16"/>
        <v>#REF!</v>
      </c>
      <c r="E179" s="95" t="e">
        <f t="shared" si="9"/>
        <v>#REF!</v>
      </c>
      <c r="F179" s="104" t="e">
        <f t="shared" si="10"/>
        <v>#REF!</v>
      </c>
      <c r="S179" s="102">
        <f t="shared" si="6"/>
        <v>1.0549999999999999</v>
      </c>
      <c r="T179" s="18" t="e">
        <f t="shared" ref="T179:U198" si="17">INDEX($T$14:$AH$114,MATCH($S179,$S$14:$S$114,0),MATCH(T$117,$T$13:$AH$13,0))</f>
        <v>#REF!</v>
      </c>
      <c r="U179" s="18" t="e">
        <f t="shared" si="3"/>
        <v>#REF!</v>
      </c>
      <c r="V179" s="95" t="e">
        <f t="shared" si="8"/>
        <v>#REF!</v>
      </c>
      <c r="W179" s="104" t="e">
        <f t="shared" si="11"/>
        <v>#REF!</v>
      </c>
    </row>
    <row r="180" spans="2:23" x14ac:dyDescent="0.2">
      <c r="B180" s="102">
        <f t="shared" si="4"/>
        <v>7.22E-2</v>
      </c>
      <c r="C180" s="18" t="e">
        <f t="shared" si="16"/>
        <v>#REF!</v>
      </c>
      <c r="D180" s="18" t="e">
        <f t="shared" si="16"/>
        <v>#REF!</v>
      </c>
      <c r="E180" s="95" t="e">
        <f t="shared" si="9"/>
        <v>#REF!</v>
      </c>
      <c r="F180" s="104" t="e">
        <f t="shared" si="10"/>
        <v>#REF!</v>
      </c>
      <c r="S180" s="102">
        <f t="shared" si="6"/>
        <v>1.06</v>
      </c>
      <c r="T180" s="18" t="e">
        <f t="shared" si="17"/>
        <v>#REF!</v>
      </c>
      <c r="U180" s="18" t="e">
        <f t="shared" si="3"/>
        <v>#REF!</v>
      </c>
      <c r="V180" s="95" t="e">
        <f t="shared" si="8"/>
        <v>#REF!</v>
      </c>
      <c r="W180" s="104" t="e">
        <f t="shared" si="11"/>
        <v>#REF!</v>
      </c>
    </row>
    <row r="181" spans="2:23" x14ac:dyDescent="0.2">
      <c r="B181" s="102">
        <f t="shared" si="4"/>
        <v>7.2800000000000004E-2</v>
      </c>
      <c r="C181" s="18" t="e">
        <f t="shared" si="16"/>
        <v>#REF!</v>
      </c>
      <c r="D181" s="18" t="e">
        <f t="shared" si="16"/>
        <v>#REF!</v>
      </c>
      <c r="E181" s="95" t="e">
        <f t="shared" si="9"/>
        <v>#REF!</v>
      </c>
      <c r="F181" s="104" t="e">
        <f t="shared" si="10"/>
        <v>#REF!</v>
      </c>
      <c r="S181" s="102">
        <f t="shared" si="6"/>
        <v>1.0649999999999999</v>
      </c>
      <c r="T181" s="18" t="e">
        <f t="shared" si="17"/>
        <v>#REF!</v>
      </c>
      <c r="U181" s="18" t="e">
        <f t="shared" si="3"/>
        <v>#REF!</v>
      </c>
      <c r="V181" s="95" t="e">
        <f t="shared" si="8"/>
        <v>#REF!</v>
      </c>
      <c r="W181" s="104" t="e">
        <f t="shared" si="11"/>
        <v>#REF!</v>
      </c>
    </row>
    <row r="182" spans="2:23" x14ac:dyDescent="0.2">
      <c r="B182" s="102">
        <f t="shared" si="4"/>
        <v>7.3400000000000007E-2</v>
      </c>
      <c r="C182" s="18" t="e">
        <f t="shared" si="16"/>
        <v>#REF!</v>
      </c>
      <c r="D182" s="18" t="e">
        <f t="shared" si="16"/>
        <v>#REF!</v>
      </c>
      <c r="E182" s="95" t="e">
        <f t="shared" si="9"/>
        <v>#REF!</v>
      </c>
      <c r="F182" s="104" t="e">
        <f t="shared" si="10"/>
        <v>#REF!</v>
      </c>
      <c r="S182" s="102">
        <f t="shared" si="6"/>
        <v>1.07</v>
      </c>
      <c r="T182" s="18" t="e">
        <f t="shared" si="17"/>
        <v>#REF!</v>
      </c>
      <c r="U182" s="18" t="e">
        <f t="shared" si="17"/>
        <v>#REF!</v>
      </c>
      <c r="V182" s="95" t="e">
        <f t="shared" si="8"/>
        <v>#REF!</v>
      </c>
      <c r="W182" s="104" t="e">
        <f t="shared" si="11"/>
        <v>#REF!</v>
      </c>
    </row>
    <row r="183" spans="2:23" x14ac:dyDescent="0.2">
      <c r="B183" s="102">
        <f t="shared" si="4"/>
        <v>7.3999999999999996E-2</v>
      </c>
      <c r="C183" s="18" t="e">
        <f t="shared" si="16"/>
        <v>#REF!</v>
      </c>
      <c r="D183" s="18" t="e">
        <f t="shared" si="16"/>
        <v>#REF!</v>
      </c>
      <c r="E183" s="95" t="e">
        <f t="shared" si="9"/>
        <v>#REF!</v>
      </c>
      <c r="F183" s="104" t="e">
        <f t="shared" si="10"/>
        <v>#REF!</v>
      </c>
      <c r="S183" s="102">
        <f t="shared" ref="S183" si="18">S79</f>
        <v>1.075</v>
      </c>
      <c r="T183" s="18" t="e">
        <f t="shared" si="17"/>
        <v>#REF!</v>
      </c>
      <c r="U183" s="18" t="e">
        <f t="shared" si="17"/>
        <v>#REF!</v>
      </c>
      <c r="V183" s="95" t="e">
        <f t="shared" ref="V183:V218" si="19">T183&gt;U183</f>
        <v>#REF!</v>
      </c>
      <c r="W183" s="104" t="e">
        <f t="shared" si="11"/>
        <v>#REF!</v>
      </c>
    </row>
    <row r="184" spans="2:23" x14ac:dyDescent="0.2">
      <c r="B184" s="102">
        <f t="shared" ref="B184:B218" si="20">B80</f>
        <v>7.46E-2</v>
      </c>
      <c r="C184" s="18" t="e">
        <f t="shared" si="16"/>
        <v>#REF!</v>
      </c>
      <c r="D184" s="18" t="e">
        <f t="shared" si="16"/>
        <v>#REF!</v>
      </c>
      <c r="E184" s="95" t="e">
        <f t="shared" ref="E184:E218" si="21">C184&gt;D184</f>
        <v>#REF!</v>
      </c>
      <c r="F184" s="104" t="e">
        <f t="shared" ref="F184:F218" si="22">+IF(E183=E184,0,1)</f>
        <v>#REF!</v>
      </c>
      <c r="S184" s="102">
        <f t="shared" ref="S184:S218" si="23">S80</f>
        <v>1.08</v>
      </c>
      <c r="T184" s="18" t="e">
        <f t="shared" si="17"/>
        <v>#REF!</v>
      </c>
      <c r="U184" s="18" t="e">
        <f t="shared" si="17"/>
        <v>#REF!</v>
      </c>
      <c r="V184" s="95" t="e">
        <f t="shared" si="19"/>
        <v>#REF!</v>
      </c>
      <c r="W184" s="104" t="e">
        <f t="shared" ref="W184:W218" si="24">+IF(V183=V184,0,1)</f>
        <v>#REF!</v>
      </c>
    </row>
    <row r="185" spans="2:23" x14ac:dyDescent="0.2">
      <c r="B185" s="102">
        <f t="shared" si="20"/>
        <v>7.5200000000000003E-2</v>
      </c>
      <c r="C185" s="18" t="e">
        <f t="shared" si="16"/>
        <v>#REF!</v>
      </c>
      <c r="D185" s="18" t="e">
        <f t="shared" si="16"/>
        <v>#REF!</v>
      </c>
      <c r="E185" s="95" t="e">
        <f t="shared" si="21"/>
        <v>#REF!</v>
      </c>
      <c r="F185" s="104" t="e">
        <f t="shared" si="22"/>
        <v>#REF!</v>
      </c>
      <c r="S185" s="102">
        <f t="shared" si="23"/>
        <v>1.085</v>
      </c>
      <c r="T185" s="18" t="e">
        <f t="shared" si="17"/>
        <v>#REF!</v>
      </c>
      <c r="U185" s="18" t="e">
        <f t="shared" si="17"/>
        <v>#REF!</v>
      </c>
      <c r="V185" s="95" t="e">
        <f t="shared" si="19"/>
        <v>#REF!</v>
      </c>
      <c r="W185" s="104" t="e">
        <f t="shared" si="24"/>
        <v>#REF!</v>
      </c>
    </row>
    <row r="186" spans="2:23" x14ac:dyDescent="0.2">
      <c r="B186" s="102">
        <f t="shared" si="20"/>
        <v>7.5800000000000006E-2</v>
      </c>
      <c r="C186" s="18" t="e">
        <f t="shared" si="16"/>
        <v>#REF!</v>
      </c>
      <c r="D186" s="18" t="e">
        <f t="shared" si="16"/>
        <v>#REF!</v>
      </c>
      <c r="E186" s="95" t="e">
        <f t="shared" si="21"/>
        <v>#REF!</v>
      </c>
      <c r="F186" s="104" t="e">
        <f t="shared" si="22"/>
        <v>#REF!</v>
      </c>
      <c r="S186" s="102">
        <f t="shared" si="23"/>
        <v>1.0900000000000001</v>
      </c>
      <c r="T186" s="18" t="e">
        <f t="shared" si="17"/>
        <v>#REF!</v>
      </c>
      <c r="U186" s="18" t="e">
        <f t="shared" si="17"/>
        <v>#REF!</v>
      </c>
      <c r="V186" s="95" t="e">
        <f t="shared" si="19"/>
        <v>#REF!</v>
      </c>
      <c r="W186" s="104" t="e">
        <f t="shared" si="24"/>
        <v>#REF!</v>
      </c>
    </row>
    <row r="187" spans="2:23" x14ac:dyDescent="0.2">
      <c r="B187" s="102">
        <f t="shared" si="20"/>
        <v>7.6399999999999996E-2</v>
      </c>
      <c r="C187" s="18" t="e">
        <f t="shared" si="16"/>
        <v>#REF!</v>
      </c>
      <c r="D187" s="18" t="e">
        <f t="shared" si="16"/>
        <v>#REF!</v>
      </c>
      <c r="E187" s="95" t="e">
        <f t="shared" si="21"/>
        <v>#REF!</v>
      </c>
      <c r="F187" s="104" t="e">
        <f t="shared" si="22"/>
        <v>#REF!</v>
      </c>
      <c r="S187" s="102">
        <f t="shared" si="23"/>
        <v>1.095</v>
      </c>
      <c r="T187" s="18" t="e">
        <f t="shared" si="17"/>
        <v>#REF!</v>
      </c>
      <c r="U187" s="18" t="e">
        <f t="shared" si="17"/>
        <v>#REF!</v>
      </c>
      <c r="V187" s="95" t="e">
        <f t="shared" si="19"/>
        <v>#REF!</v>
      </c>
      <c r="W187" s="104" t="e">
        <f t="shared" si="24"/>
        <v>#REF!</v>
      </c>
    </row>
    <row r="188" spans="2:23" x14ac:dyDescent="0.2">
      <c r="B188" s="102">
        <f t="shared" si="20"/>
        <v>7.6999999999999999E-2</v>
      </c>
      <c r="C188" s="18" t="e">
        <f t="shared" si="16"/>
        <v>#REF!</v>
      </c>
      <c r="D188" s="18" t="e">
        <f t="shared" si="16"/>
        <v>#REF!</v>
      </c>
      <c r="E188" s="95" t="e">
        <f t="shared" si="21"/>
        <v>#REF!</v>
      </c>
      <c r="F188" s="104" t="e">
        <f t="shared" si="22"/>
        <v>#REF!</v>
      </c>
      <c r="S188" s="102">
        <f t="shared" si="23"/>
        <v>1.1000000000000001</v>
      </c>
      <c r="T188" s="18" t="e">
        <f t="shared" si="17"/>
        <v>#REF!</v>
      </c>
      <c r="U188" s="18" t="e">
        <f t="shared" si="17"/>
        <v>#REF!</v>
      </c>
      <c r="V188" s="95" t="e">
        <f t="shared" si="19"/>
        <v>#REF!</v>
      </c>
      <c r="W188" s="104" t="e">
        <f t="shared" si="24"/>
        <v>#REF!</v>
      </c>
    </row>
    <row r="189" spans="2:23" x14ac:dyDescent="0.2">
      <c r="B189" s="102">
        <f t="shared" si="20"/>
        <v>7.7600000000000002E-2</v>
      </c>
      <c r="C189" s="18" t="e">
        <f t="shared" si="16"/>
        <v>#REF!</v>
      </c>
      <c r="D189" s="18" t="e">
        <f t="shared" si="16"/>
        <v>#REF!</v>
      </c>
      <c r="E189" s="95" t="e">
        <f t="shared" si="21"/>
        <v>#REF!</v>
      </c>
      <c r="F189" s="104" t="e">
        <f t="shared" si="22"/>
        <v>#REF!</v>
      </c>
      <c r="S189" s="102">
        <f t="shared" si="23"/>
        <v>1.105</v>
      </c>
      <c r="T189" s="18" t="e">
        <f t="shared" si="17"/>
        <v>#REF!</v>
      </c>
      <c r="U189" s="18" t="e">
        <f t="shared" si="17"/>
        <v>#REF!</v>
      </c>
      <c r="V189" s="95" t="e">
        <f t="shared" si="19"/>
        <v>#REF!</v>
      </c>
      <c r="W189" s="104" t="e">
        <f t="shared" si="24"/>
        <v>#REF!</v>
      </c>
    </row>
    <row r="190" spans="2:23" x14ac:dyDescent="0.2">
      <c r="B190" s="102">
        <f t="shared" si="20"/>
        <v>7.8200000000000006E-2</v>
      </c>
      <c r="C190" s="18" t="e">
        <f t="shared" si="16"/>
        <v>#REF!</v>
      </c>
      <c r="D190" s="18" t="e">
        <f t="shared" si="16"/>
        <v>#REF!</v>
      </c>
      <c r="E190" s="95" t="e">
        <f t="shared" si="21"/>
        <v>#REF!</v>
      </c>
      <c r="F190" s="104" t="e">
        <f t="shared" si="22"/>
        <v>#REF!</v>
      </c>
      <c r="S190" s="102">
        <f t="shared" si="23"/>
        <v>1.1100000000000001</v>
      </c>
      <c r="T190" s="18" t="e">
        <f t="shared" si="17"/>
        <v>#REF!</v>
      </c>
      <c r="U190" s="18" t="e">
        <f t="shared" si="17"/>
        <v>#REF!</v>
      </c>
      <c r="V190" s="95" t="e">
        <f t="shared" si="19"/>
        <v>#REF!</v>
      </c>
      <c r="W190" s="104" t="e">
        <f t="shared" si="24"/>
        <v>#REF!</v>
      </c>
    </row>
    <row r="191" spans="2:23" x14ac:dyDescent="0.2">
      <c r="B191" s="102">
        <f t="shared" si="20"/>
        <v>7.8799999999999995E-2</v>
      </c>
      <c r="C191" s="18" t="e">
        <f t="shared" si="16"/>
        <v>#REF!</v>
      </c>
      <c r="D191" s="18" t="e">
        <f t="shared" si="16"/>
        <v>#REF!</v>
      </c>
      <c r="E191" s="95" t="e">
        <f t="shared" si="21"/>
        <v>#REF!</v>
      </c>
      <c r="F191" s="104" t="e">
        <f t="shared" si="22"/>
        <v>#REF!</v>
      </c>
      <c r="S191" s="102">
        <f t="shared" si="23"/>
        <v>1.115</v>
      </c>
      <c r="T191" s="18" t="e">
        <f t="shared" si="17"/>
        <v>#REF!</v>
      </c>
      <c r="U191" s="18" t="e">
        <f t="shared" si="17"/>
        <v>#REF!</v>
      </c>
      <c r="V191" s="95" t="e">
        <f t="shared" si="19"/>
        <v>#REF!</v>
      </c>
      <c r="W191" s="104" t="e">
        <f t="shared" si="24"/>
        <v>#REF!</v>
      </c>
    </row>
    <row r="192" spans="2:23" x14ac:dyDescent="0.2">
      <c r="B192" s="102">
        <f t="shared" si="20"/>
        <v>7.9399999999999998E-2</v>
      </c>
      <c r="C192" s="18" t="e">
        <f t="shared" si="16"/>
        <v>#REF!</v>
      </c>
      <c r="D192" s="18" t="e">
        <f t="shared" si="16"/>
        <v>#REF!</v>
      </c>
      <c r="E192" s="95" t="e">
        <f t="shared" si="21"/>
        <v>#REF!</v>
      </c>
      <c r="F192" s="104" t="e">
        <f t="shared" si="22"/>
        <v>#REF!</v>
      </c>
      <c r="S192" s="102">
        <f t="shared" si="23"/>
        <v>1.1200000000000001</v>
      </c>
      <c r="T192" s="18" t="e">
        <f t="shared" si="17"/>
        <v>#REF!</v>
      </c>
      <c r="U192" s="18" t="e">
        <f t="shared" si="17"/>
        <v>#REF!</v>
      </c>
      <c r="V192" s="95" t="e">
        <f t="shared" si="19"/>
        <v>#REF!</v>
      </c>
      <c r="W192" s="104" t="e">
        <f t="shared" si="24"/>
        <v>#REF!</v>
      </c>
    </row>
    <row r="193" spans="2:23" x14ac:dyDescent="0.2">
      <c r="B193" s="102">
        <f t="shared" si="20"/>
        <v>0.08</v>
      </c>
      <c r="C193" s="18" t="e">
        <f t="shared" si="16"/>
        <v>#REF!</v>
      </c>
      <c r="D193" s="18" t="e">
        <f t="shared" si="16"/>
        <v>#REF!</v>
      </c>
      <c r="E193" s="95" t="e">
        <f t="shared" si="21"/>
        <v>#REF!</v>
      </c>
      <c r="F193" s="104" t="e">
        <f t="shared" si="22"/>
        <v>#REF!</v>
      </c>
      <c r="S193" s="102">
        <f t="shared" si="23"/>
        <v>1.125</v>
      </c>
      <c r="T193" s="18" t="e">
        <f t="shared" si="17"/>
        <v>#REF!</v>
      </c>
      <c r="U193" s="18" t="e">
        <f t="shared" si="17"/>
        <v>#REF!</v>
      </c>
      <c r="V193" s="95" t="e">
        <f t="shared" si="19"/>
        <v>#REF!</v>
      </c>
      <c r="W193" s="104" t="e">
        <f t="shared" si="24"/>
        <v>#REF!</v>
      </c>
    </row>
    <row r="194" spans="2:23" x14ac:dyDescent="0.2">
      <c r="B194" s="102">
        <f t="shared" si="20"/>
        <v>8.0600000000000005E-2</v>
      </c>
      <c r="C194" s="18" t="e">
        <f t="shared" si="16"/>
        <v>#REF!</v>
      </c>
      <c r="D194" s="18" t="e">
        <f t="shared" si="16"/>
        <v>#REF!</v>
      </c>
      <c r="E194" s="95" t="e">
        <f t="shared" si="21"/>
        <v>#REF!</v>
      </c>
      <c r="F194" s="104" t="e">
        <f t="shared" si="22"/>
        <v>#REF!</v>
      </c>
      <c r="S194" s="102">
        <f t="shared" si="23"/>
        <v>1.1299999999999999</v>
      </c>
      <c r="T194" s="18" t="e">
        <f t="shared" si="17"/>
        <v>#REF!</v>
      </c>
      <c r="U194" s="18" t="e">
        <f t="shared" si="17"/>
        <v>#REF!</v>
      </c>
      <c r="V194" s="95" t="e">
        <f t="shared" si="19"/>
        <v>#REF!</v>
      </c>
      <c r="W194" s="104" t="e">
        <f t="shared" si="24"/>
        <v>#REF!</v>
      </c>
    </row>
    <row r="195" spans="2:23" x14ac:dyDescent="0.2">
      <c r="B195" s="102">
        <f t="shared" si="20"/>
        <v>8.1199999999999994E-2</v>
      </c>
      <c r="C195" s="18" t="e">
        <f t="shared" si="16"/>
        <v>#REF!</v>
      </c>
      <c r="D195" s="18" t="e">
        <f t="shared" si="16"/>
        <v>#REF!</v>
      </c>
      <c r="E195" s="95" t="e">
        <f t="shared" si="21"/>
        <v>#REF!</v>
      </c>
      <c r="F195" s="104" t="e">
        <f t="shared" si="22"/>
        <v>#REF!</v>
      </c>
      <c r="S195" s="102">
        <f t="shared" si="23"/>
        <v>1.135</v>
      </c>
      <c r="T195" s="18" t="e">
        <f t="shared" si="17"/>
        <v>#REF!</v>
      </c>
      <c r="U195" s="18" t="e">
        <f t="shared" si="17"/>
        <v>#REF!</v>
      </c>
      <c r="V195" s="95" t="e">
        <f t="shared" si="19"/>
        <v>#REF!</v>
      </c>
      <c r="W195" s="104" t="e">
        <f t="shared" si="24"/>
        <v>#REF!</v>
      </c>
    </row>
    <row r="196" spans="2:23" x14ac:dyDescent="0.2">
      <c r="B196" s="102">
        <f t="shared" si="20"/>
        <v>8.1799999999999998E-2</v>
      </c>
      <c r="C196" s="18" t="e">
        <f t="shared" si="16"/>
        <v>#REF!</v>
      </c>
      <c r="D196" s="18" t="e">
        <f t="shared" si="16"/>
        <v>#REF!</v>
      </c>
      <c r="E196" s="95" t="e">
        <f t="shared" si="21"/>
        <v>#REF!</v>
      </c>
      <c r="F196" s="104" t="e">
        <f t="shared" si="22"/>
        <v>#REF!</v>
      </c>
      <c r="S196" s="102">
        <f t="shared" si="23"/>
        <v>1.1399999999999999</v>
      </c>
      <c r="T196" s="18" t="e">
        <f t="shared" si="17"/>
        <v>#REF!</v>
      </c>
      <c r="U196" s="18" t="e">
        <f t="shared" si="17"/>
        <v>#REF!</v>
      </c>
      <c r="V196" s="95" t="e">
        <f t="shared" si="19"/>
        <v>#REF!</v>
      </c>
      <c r="W196" s="104" t="e">
        <f t="shared" si="24"/>
        <v>#REF!</v>
      </c>
    </row>
    <row r="197" spans="2:23" x14ac:dyDescent="0.2">
      <c r="B197" s="102">
        <f t="shared" si="20"/>
        <v>8.2400000000000001E-2</v>
      </c>
      <c r="C197" s="18" t="e">
        <f t="shared" si="16"/>
        <v>#REF!</v>
      </c>
      <c r="D197" s="18" t="e">
        <f t="shared" si="16"/>
        <v>#REF!</v>
      </c>
      <c r="E197" s="95" t="e">
        <f t="shared" si="21"/>
        <v>#REF!</v>
      </c>
      <c r="F197" s="104" t="e">
        <f t="shared" si="22"/>
        <v>#REF!</v>
      </c>
      <c r="S197" s="102">
        <f t="shared" si="23"/>
        <v>1.145</v>
      </c>
      <c r="T197" s="18" t="e">
        <f t="shared" si="17"/>
        <v>#REF!</v>
      </c>
      <c r="U197" s="18" t="e">
        <f t="shared" si="17"/>
        <v>#REF!</v>
      </c>
      <c r="V197" s="95" t="e">
        <f t="shared" si="19"/>
        <v>#REF!</v>
      </c>
      <c r="W197" s="104" t="e">
        <f t="shared" si="24"/>
        <v>#REF!</v>
      </c>
    </row>
    <row r="198" spans="2:23" x14ac:dyDescent="0.2">
      <c r="B198" s="102">
        <f t="shared" si="20"/>
        <v>8.3000000000000004E-2</v>
      </c>
      <c r="C198" s="18" t="e">
        <f t="shared" ref="C198:D218" si="25">INDEX($C$14:$Q$114,MATCH($B198,$B$14:$B$114,0),MATCH(C$117,$C$13:$Q$13,0))</f>
        <v>#REF!</v>
      </c>
      <c r="D198" s="18" t="e">
        <f t="shared" si="25"/>
        <v>#REF!</v>
      </c>
      <c r="E198" s="95" t="e">
        <f t="shared" si="21"/>
        <v>#REF!</v>
      </c>
      <c r="F198" s="104" t="e">
        <f t="shared" si="22"/>
        <v>#REF!</v>
      </c>
      <c r="S198" s="102">
        <f t="shared" si="23"/>
        <v>1.1499999999999999</v>
      </c>
      <c r="T198" s="18" t="e">
        <f t="shared" si="17"/>
        <v>#REF!</v>
      </c>
      <c r="U198" s="18" t="e">
        <f t="shared" si="17"/>
        <v>#REF!</v>
      </c>
      <c r="V198" s="95" t="e">
        <f t="shared" si="19"/>
        <v>#REF!</v>
      </c>
      <c r="W198" s="104" t="e">
        <f t="shared" si="24"/>
        <v>#REF!</v>
      </c>
    </row>
    <row r="199" spans="2:23" x14ac:dyDescent="0.2">
      <c r="B199" s="102">
        <f t="shared" si="20"/>
        <v>8.3599999999999994E-2</v>
      </c>
      <c r="C199" s="18" t="e">
        <f t="shared" si="25"/>
        <v>#REF!</v>
      </c>
      <c r="D199" s="18" t="e">
        <f t="shared" si="25"/>
        <v>#REF!</v>
      </c>
      <c r="E199" s="95" t="e">
        <f t="shared" si="21"/>
        <v>#REF!</v>
      </c>
      <c r="F199" s="104" t="e">
        <f t="shared" si="22"/>
        <v>#REF!</v>
      </c>
      <c r="S199" s="102">
        <f t="shared" si="23"/>
        <v>1.155</v>
      </c>
      <c r="T199" s="18" t="e">
        <f t="shared" ref="T199:U218" si="26">INDEX($T$14:$AH$114,MATCH($S199,$S$14:$S$114,0),MATCH(T$117,$T$13:$AH$13,0))</f>
        <v>#REF!</v>
      </c>
      <c r="U199" s="18" t="e">
        <f t="shared" si="26"/>
        <v>#REF!</v>
      </c>
      <c r="V199" s="95" t="e">
        <f t="shared" si="19"/>
        <v>#REF!</v>
      </c>
      <c r="W199" s="104" t="e">
        <f t="shared" si="24"/>
        <v>#REF!</v>
      </c>
    </row>
    <row r="200" spans="2:23" x14ac:dyDescent="0.2">
      <c r="B200" s="102">
        <f t="shared" si="20"/>
        <v>8.4199999999999997E-2</v>
      </c>
      <c r="C200" s="18" t="e">
        <f t="shared" si="25"/>
        <v>#REF!</v>
      </c>
      <c r="D200" s="18" t="e">
        <f t="shared" si="25"/>
        <v>#REF!</v>
      </c>
      <c r="E200" s="95" t="e">
        <f t="shared" si="21"/>
        <v>#REF!</v>
      </c>
      <c r="F200" s="104" t="e">
        <f t="shared" si="22"/>
        <v>#REF!</v>
      </c>
      <c r="S200" s="102">
        <f t="shared" si="23"/>
        <v>1.1599999999999999</v>
      </c>
      <c r="T200" s="18" t="e">
        <f t="shared" si="26"/>
        <v>#REF!</v>
      </c>
      <c r="U200" s="18" t="e">
        <f t="shared" si="26"/>
        <v>#REF!</v>
      </c>
      <c r="V200" s="95" t="e">
        <f t="shared" si="19"/>
        <v>#REF!</v>
      </c>
      <c r="W200" s="104" t="e">
        <f t="shared" si="24"/>
        <v>#REF!</v>
      </c>
    </row>
    <row r="201" spans="2:23" x14ac:dyDescent="0.2">
      <c r="B201" s="102">
        <f t="shared" si="20"/>
        <v>8.48E-2</v>
      </c>
      <c r="C201" s="18" t="e">
        <f t="shared" si="25"/>
        <v>#REF!</v>
      </c>
      <c r="D201" s="18" t="e">
        <f t="shared" si="25"/>
        <v>#REF!</v>
      </c>
      <c r="E201" s="95" t="e">
        <f t="shared" si="21"/>
        <v>#REF!</v>
      </c>
      <c r="F201" s="104" t="e">
        <f t="shared" si="22"/>
        <v>#REF!</v>
      </c>
      <c r="S201" s="102">
        <f t="shared" si="23"/>
        <v>1.165</v>
      </c>
      <c r="T201" s="18" t="e">
        <f t="shared" si="26"/>
        <v>#REF!</v>
      </c>
      <c r="U201" s="18" t="e">
        <f t="shared" si="26"/>
        <v>#REF!</v>
      </c>
      <c r="V201" s="95" t="e">
        <f t="shared" si="19"/>
        <v>#REF!</v>
      </c>
      <c r="W201" s="104" t="e">
        <f t="shared" si="24"/>
        <v>#REF!</v>
      </c>
    </row>
    <row r="202" spans="2:23" x14ac:dyDescent="0.2">
      <c r="B202" s="102">
        <f t="shared" si="20"/>
        <v>8.5400000000000004E-2</v>
      </c>
      <c r="C202" s="18" t="e">
        <f t="shared" si="25"/>
        <v>#REF!</v>
      </c>
      <c r="D202" s="18" t="e">
        <f t="shared" si="25"/>
        <v>#REF!</v>
      </c>
      <c r="E202" s="95" t="e">
        <f t="shared" si="21"/>
        <v>#REF!</v>
      </c>
      <c r="F202" s="104" t="e">
        <f t="shared" si="22"/>
        <v>#REF!</v>
      </c>
      <c r="S202" s="102">
        <f t="shared" si="23"/>
        <v>1.17</v>
      </c>
      <c r="T202" s="18" t="e">
        <f t="shared" si="26"/>
        <v>#REF!</v>
      </c>
      <c r="U202" s="18" t="e">
        <f t="shared" si="26"/>
        <v>#REF!</v>
      </c>
      <c r="V202" s="95" t="e">
        <f t="shared" si="19"/>
        <v>#REF!</v>
      </c>
      <c r="W202" s="104" t="e">
        <f t="shared" si="24"/>
        <v>#REF!</v>
      </c>
    </row>
    <row r="203" spans="2:23" x14ac:dyDescent="0.2">
      <c r="B203" s="102">
        <f t="shared" si="20"/>
        <v>8.5999999999999993E-2</v>
      </c>
      <c r="C203" s="18" t="e">
        <f t="shared" si="25"/>
        <v>#REF!</v>
      </c>
      <c r="D203" s="18" t="e">
        <f t="shared" si="25"/>
        <v>#REF!</v>
      </c>
      <c r="E203" s="95" t="e">
        <f t="shared" si="21"/>
        <v>#REF!</v>
      </c>
      <c r="F203" s="104" t="e">
        <f t="shared" si="22"/>
        <v>#REF!</v>
      </c>
      <c r="S203" s="102">
        <f t="shared" si="23"/>
        <v>1.175</v>
      </c>
      <c r="T203" s="18" t="e">
        <f t="shared" si="26"/>
        <v>#REF!</v>
      </c>
      <c r="U203" s="18" t="e">
        <f t="shared" si="26"/>
        <v>#REF!</v>
      </c>
      <c r="V203" s="95" t="e">
        <f t="shared" si="19"/>
        <v>#REF!</v>
      </c>
      <c r="W203" s="104" t="e">
        <f t="shared" si="24"/>
        <v>#REF!</v>
      </c>
    </row>
    <row r="204" spans="2:23" x14ac:dyDescent="0.2">
      <c r="B204" s="102">
        <f t="shared" si="20"/>
        <v>8.6599999999999996E-2</v>
      </c>
      <c r="C204" s="18" t="e">
        <f t="shared" si="25"/>
        <v>#REF!</v>
      </c>
      <c r="D204" s="18" t="e">
        <f t="shared" si="25"/>
        <v>#REF!</v>
      </c>
      <c r="E204" s="95" t="e">
        <f t="shared" si="21"/>
        <v>#REF!</v>
      </c>
      <c r="F204" s="104" t="e">
        <f t="shared" si="22"/>
        <v>#REF!</v>
      </c>
      <c r="S204" s="102">
        <f t="shared" si="23"/>
        <v>1.18</v>
      </c>
      <c r="T204" s="18" t="e">
        <f t="shared" si="26"/>
        <v>#REF!</v>
      </c>
      <c r="U204" s="18" t="e">
        <f t="shared" si="26"/>
        <v>#REF!</v>
      </c>
      <c r="V204" s="95" t="e">
        <f t="shared" si="19"/>
        <v>#REF!</v>
      </c>
      <c r="W204" s="104" t="e">
        <f t="shared" si="24"/>
        <v>#REF!</v>
      </c>
    </row>
    <row r="205" spans="2:23" x14ac:dyDescent="0.2">
      <c r="B205" s="102">
        <f t="shared" si="20"/>
        <v>8.72E-2</v>
      </c>
      <c r="C205" s="18" t="e">
        <f t="shared" si="25"/>
        <v>#REF!</v>
      </c>
      <c r="D205" s="18" t="e">
        <f t="shared" si="25"/>
        <v>#REF!</v>
      </c>
      <c r="E205" s="95" t="e">
        <f t="shared" si="21"/>
        <v>#REF!</v>
      </c>
      <c r="F205" s="104" t="e">
        <f t="shared" si="22"/>
        <v>#REF!</v>
      </c>
      <c r="S205" s="102">
        <f t="shared" si="23"/>
        <v>1.1850000000000001</v>
      </c>
      <c r="T205" s="18" t="e">
        <f t="shared" si="26"/>
        <v>#REF!</v>
      </c>
      <c r="U205" s="18" t="e">
        <f t="shared" si="26"/>
        <v>#REF!</v>
      </c>
      <c r="V205" s="95" t="e">
        <f t="shared" si="19"/>
        <v>#REF!</v>
      </c>
      <c r="W205" s="104" t="e">
        <f t="shared" si="24"/>
        <v>#REF!</v>
      </c>
    </row>
    <row r="206" spans="2:23" x14ac:dyDescent="0.2">
      <c r="B206" s="102">
        <f t="shared" si="20"/>
        <v>8.7800000000000003E-2</v>
      </c>
      <c r="C206" s="18" t="e">
        <f t="shared" si="25"/>
        <v>#REF!</v>
      </c>
      <c r="D206" s="18" t="e">
        <f t="shared" si="25"/>
        <v>#REF!</v>
      </c>
      <c r="E206" s="95" t="e">
        <f t="shared" si="21"/>
        <v>#REF!</v>
      </c>
      <c r="F206" s="104" t="e">
        <f t="shared" si="22"/>
        <v>#REF!</v>
      </c>
      <c r="S206" s="102">
        <f t="shared" si="23"/>
        <v>1.19</v>
      </c>
      <c r="T206" s="18" t="e">
        <f t="shared" si="26"/>
        <v>#REF!</v>
      </c>
      <c r="U206" s="18" t="e">
        <f t="shared" si="26"/>
        <v>#REF!</v>
      </c>
      <c r="V206" s="95" t="e">
        <f t="shared" si="19"/>
        <v>#REF!</v>
      </c>
      <c r="W206" s="104" t="e">
        <f t="shared" si="24"/>
        <v>#REF!</v>
      </c>
    </row>
    <row r="207" spans="2:23" x14ac:dyDescent="0.2">
      <c r="B207" s="102">
        <f t="shared" si="20"/>
        <v>8.8400000000000006E-2</v>
      </c>
      <c r="C207" s="18" t="e">
        <f t="shared" si="25"/>
        <v>#REF!</v>
      </c>
      <c r="D207" s="18" t="e">
        <f t="shared" si="25"/>
        <v>#REF!</v>
      </c>
      <c r="E207" s="95" t="e">
        <f t="shared" si="21"/>
        <v>#REF!</v>
      </c>
      <c r="F207" s="104" t="e">
        <f t="shared" si="22"/>
        <v>#REF!</v>
      </c>
      <c r="S207" s="102">
        <f t="shared" si="23"/>
        <v>1.1950000000000001</v>
      </c>
      <c r="T207" s="18" t="e">
        <f t="shared" si="26"/>
        <v>#REF!</v>
      </c>
      <c r="U207" s="18" t="e">
        <f t="shared" si="26"/>
        <v>#REF!</v>
      </c>
      <c r="V207" s="95" t="e">
        <f t="shared" si="19"/>
        <v>#REF!</v>
      </c>
      <c r="W207" s="104" t="e">
        <f t="shared" si="24"/>
        <v>#REF!</v>
      </c>
    </row>
    <row r="208" spans="2:23" x14ac:dyDescent="0.2">
      <c r="B208" s="102">
        <f t="shared" si="20"/>
        <v>8.8999999999999996E-2</v>
      </c>
      <c r="C208" s="18" t="e">
        <f t="shared" si="25"/>
        <v>#REF!</v>
      </c>
      <c r="D208" s="18" t="e">
        <f t="shared" si="25"/>
        <v>#REF!</v>
      </c>
      <c r="E208" s="95" t="e">
        <f t="shared" si="21"/>
        <v>#REF!</v>
      </c>
      <c r="F208" s="104" t="e">
        <f t="shared" si="22"/>
        <v>#REF!</v>
      </c>
      <c r="S208" s="102">
        <f t="shared" si="23"/>
        <v>1.2</v>
      </c>
      <c r="T208" s="18" t="e">
        <f t="shared" si="26"/>
        <v>#REF!</v>
      </c>
      <c r="U208" s="18" t="e">
        <f t="shared" si="26"/>
        <v>#REF!</v>
      </c>
      <c r="V208" s="95" t="e">
        <f t="shared" si="19"/>
        <v>#REF!</v>
      </c>
      <c r="W208" s="104" t="e">
        <f t="shared" si="24"/>
        <v>#REF!</v>
      </c>
    </row>
    <row r="209" spans="2:23" x14ac:dyDescent="0.2">
      <c r="B209" s="102">
        <f t="shared" si="20"/>
        <v>8.9599999999999999E-2</v>
      </c>
      <c r="C209" s="18" t="e">
        <f t="shared" si="25"/>
        <v>#REF!</v>
      </c>
      <c r="D209" s="18" t="e">
        <f t="shared" si="25"/>
        <v>#REF!</v>
      </c>
      <c r="E209" s="95" t="e">
        <f t="shared" si="21"/>
        <v>#REF!</v>
      </c>
      <c r="F209" s="104" t="e">
        <f t="shared" si="22"/>
        <v>#REF!</v>
      </c>
      <c r="S209" s="102">
        <f t="shared" si="23"/>
        <v>1.2050000000000001</v>
      </c>
      <c r="T209" s="18" t="e">
        <f t="shared" si="26"/>
        <v>#REF!</v>
      </c>
      <c r="U209" s="18" t="e">
        <f t="shared" si="26"/>
        <v>#REF!</v>
      </c>
      <c r="V209" s="95" t="e">
        <f t="shared" si="19"/>
        <v>#REF!</v>
      </c>
      <c r="W209" s="104" t="e">
        <f t="shared" si="24"/>
        <v>#REF!</v>
      </c>
    </row>
    <row r="210" spans="2:23" x14ac:dyDescent="0.2">
      <c r="B210" s="102">
        <f t="shared" si="20"/>
        <v>9.0200000000000002E-2</v>
      </c>
      <c r="C210" s="18" t="e">
        <f t="shared" si="25"/>
        <v>#REF!</v>
      </c>
      <c r="D210" s="18" t="e">
        <f t="shared" si="25"/>
        <v>#REF!</v>
      </c>
      <c r="E210" s="95" t="e">
        <f t="shared" si="21"/>
        <v>#REF!</v>
      </c>
      <c r="F210" s="104" t="e">
        <f t="shared" si="22"/>
        <v>#REF!</v>
      </c>
      <c r="S210" s="102">
        <f t="shared" si="23"/>
        <v>1.21</v>
      </c>
      <c r="T210" s="18" t="e">
        <f t="shared" si="26"/>
        <v>#REF!</v>
      </c>
      <c r="U210" s="18" t="e">
        <f t="shared" si="26"/>
        <v>#REF!</v>
      </c>
      <c r="V210" s="95" t="e">
        <f t="shared" si="19"/>
        <v>#REF!</v>
      </c>
      <c r="W210" s="104" t="e">
        <f t="shared" si="24"/>
        <v>#REF!</v>
      </c>
    </row>
    <row r="211" spans="2:23" x14ac:dyDescent="0.2">
      <c r="B211" s="102">
        <f t="shared" si="20"/>
        <v>9.0800000000000006E-2</v>
      </c>
      <c r="C211" s="18" t="e">
        <f t="shared" si="25"/>
        <v>#REF!</v>
      </c>
      <c r="D211" s="18" t="e">
        <f t="shared" si="25"/>
        <v>#REF!</v>
      </c>
      <c r="E211" s="95" t="e">
        <f t="shared" si="21"/>
        <v>#REF!</v>
      </c>
      <c r="F211" s="104" t="e">
        <f t="shared" si="22"/>
        <v>#REF!</v>
      </c>
      <c r="S211" s="102">
        <f t="shared" si="23"/>
        <v>1.2150000000000001</v>
      </c>
      <c r="T211" s="18" t="e">
        <f t="shared" si="26"/>
        <v>#REF!</v>
      </c>
      <c r="U211" s="18" t="e">
        <f t="shared" si="26"/>
        <v>#REF!</v>
      </c>
      <c r="V211" s="95" t="e">
        <f t="shared" si="19"/>
        <v>#REF!</v>
      </c>
      <c r="W211" s="104" t="e">
        <f t="shared" si="24"/>
        <v>#REF!</v>
      </c>
    </row>
    <row r="212" spans="2:23" x14ac:dyDescent="0.2">
      <c r="B212" s="102">
        <f t="shared" si="20"/>
        <v>9.1399999999999995E-2</v>
      </c>
      <c r="C212" s="18" t="e">
        <f t="shared" si="25"/>
        <v>#REF!</v>
      </c>
      <c r="D212" s="18" t="e">
        <f t="shared" si="25"/>
        <v>#REF!</v>
      </c>
      <c r="E212" s="95" t="e">
        <f t="shared" si="21"/>
        <v>#REF!</v>
      </c>
      <c r="F212" s="104" t="e">
        <f t="shared" si="22"/>
        <v>#REF!</v>
      </c>
      <c r="S212" s="102">
        <f t="shared" si="23"/>
        <v>1.22</v>
      </c>
      <c r="T212" s="18" t="e">
        <f t="shared" si="26"/>
        <v>#REF!</v>
      </c>
      <c r="U212" s="18" t="e">
        <f t="shared" si="26"/>
        <v>#REF!</v>
      </c>
      <c r="V212" s="95" t="e">
        <f t="shared" si="19"/>
        <v>#REF!</v>
      </c>
      <c r="W212" s="104" t="e">
        <f t="shared" si="24"/>
        <v>#REF!</v>
      </c>
    </row>
    <row r="213" spans="2:23" x14ac:dyDescent="0.2">
      <c r="B213" s="102">
        <f t="shared" si="20"/>
        <v>9.1999999999999998E-2</v>
      </c>
      <c r="C213" s="18" t="e">
        <f t="shared" si="25"/>
        <v>#REF!</v>
      </c>
      <c r="D213" s="18" t="e">
        <f t="shared" si="25"/>
        <v>#REF!</v>
      </c>
      <c r="E213" s="95" t="e">
        <f t="shared" si="21"/>
        <v>#REF!</v>
      </c>
      <c r="F213" s="104" t="e">
        <f t="shared" si="22"/>
        <v>#REF!</v>
      </c>
      <c r="S213" s="102">
        <f t="shared" si="23"/>
        <v>1.2250000000000001</v>
      </c>
      <c r="T213" s="18" t="e">
        <f t="shared" si="26"/>
        <v>#REF!</v>
      </c>
      <c r="U213" s="18" t="e">
        <f t="shared" si="26"/>
        <v>#REF!</v>
      </c>
      <c r="V213" s="95" t="e">
        <f t="shared" si="19"/>
        <v>#REF!</v>
      </c>
      <c r="W213" s="104" t="e">
        <f t="shared" si="24"/>
        <v>#REF!</v>
      </c>
    </row>
    <row r="214" spans="2:23" x14ac:dyDescent="0.2">
      <c r="B214" s="102">
        <f t="shared" si="20"/>
        <v>9.2600000000000002E-2</v>
      </c>
      <c r="C214" s="18" t="e">
        <f t="shared" si="25"/>
        <v>#REF!</v>
      </c>
      <c r="D214" s="18" t="e">
        <f t="shared" si="25"/>
        <v>#REF!</v>
      </c>
      <c r="E214" s="95" t="e">
        <f t="shared" si="21"/>
        <v>#REF!</v>
      </c>
      <c r="F214" s="104" t="e">
        <f t="shared" si="22"/>
        <v>#REF!</v>
      </c>
      <c r="S214" s="102">
        <f t="shared" si="23"/>
        <v>1.23</v>
      </c>
      <c r="T214" s="18" t="e">
        <f t="shared" si="26"/>
        <v>#REF!</v>
      </c>
      <c r="U214" s="18" t="e">
        <f t="shared" si="26"/>
        <v>#REF!</v>
      </c>
      <c r="V214" s="95" t="e">
        <f t="shared" si="19"/>
        <v>#REF!</v>
      </c>
      <c r="W214" s="104" t="e">
        <f t="shared" si="24"/>
        <v>#REF!</v>
      </c>
    </row>
    <row r="215" spans="2:23" x14ac:dyDescent="0.2">
      <c r="B215" s="102">
        <f t="shared" si="20"/>
        <v>9.3200000000000005E-2</v>
      </c>
      <c r="C215" s="18" t="e">
        <f t="shared" si="25"/>
        <v>#REF!</v>
      </c>
      <c r="D215" s="18" t="e">
        <f t="shared" si="25"/>
        <v>#REF!</v>
      </c>
      <c r="E215" s="95" t="e">
        <f t="shared" si="21"/>
        <v>#REF!</v>
      </c>
      <c r="F215" s="104" t="e">
        <f t="shared" si="22"/>
        <v>#REF!</v>
      </c>
      <c r="S215" s="102">
        <f t="shared" si="23"/>
        <v>1.2350000000000001</v>
      </c>
      <c r="T215" s="18" t="e">
        <f t="shared" si="26"/>
        <v>#REF!</v>
      </c>
      <c r="U215" s="18" t="e">
        <f t="shared" si="26"/>
        <v>#REF!</v>
      </c>
      <c r="V215" s="95" t="e">
        <f t="shared" si="19"/>
        <v>#REF!</v>
      </c>
      <c r="W215" s="104" t="e">
        <f t="shared" si="24"/>
        <v>#REF!</v>
      </c>
    </row>
    <row r="216" spans="2:23" x14ac:dyDescent="0.2">
      <c r="B216" s="102">
        <f t="shared" si="20"/>
        <v>9.3799999999999994E-2</v>
      </c>
      <c r="C216" s="18" t="e">
        <f t="shared" si="25"/>
        <v>#REF!</v>
      </c>
      <c r="D216" s="18" t="e">
        <f t="shared" si="25"/>
        <v>#REF!</v>
      </c>
      <c r="E216" s="95" t="e">
        <f t="shared" si="21"/>
        <v>#REF!</v>
      </c>
      <c r="F216" s="104" t="e">
        <f t="shared" si="22"/>
        <v>#REF!</v>
      </c>
      <c r="S216" s="102">
        <f t="shared" si="23"/>
        <v>1.24</v>
      </c>
      <c r="T216" s="18" t="e">
        <f t="shared" si="26"/>
        <v>#REF!</v>
      </c>
      <c r="U216" s="18" t="e">
        <f t="shared" si="26"/>
        <v>#REF!</v>
      </c>
      <c r="V216" s="95" t="e">
        <f t="shared" si="19"/>
        <v>#REF!</v>
      </c>
      <c r="W216" s="104" t="e">
        <f t="shared" si="24"/>
        <v>#REF!</v>
      </c>
    </row>
    <row r="217" spans="2:23" x14ac:dyDescent="0.2">
      <c r="B217" s="102">
        <f t="shared" si="20"/>
        <v>9.4399999999999998E-2</v>
      </c>
      <c r="C217" s="18" t="e">
        <f t="shared" si="25"/>
        <v>#REF!</v>
      </c>
      <c r="D217" s="18" t="e">
        <f t="shared" si="25"/>
        <v>#REF!</v>
      </c>
      <c r="E217" s="95" t="e">
        <f t="shared" si="21"/>
        <v>#REF!</v>
      </c>
      <c r="F217" s="104" t="e">
        <f t="shared" si="22"/>
        <v>#REF!</v>
      </c>
      <c r="S217" s="102">
        <f t="shared" si="23"/>
        <v>1.2450000000000001</v>
      </c>
      <c r="T217" s="18" t="e">
        <f t="shared" si="26"/>
        <v>#REF!</v>
      </c>
      <c r="U217" s="18" t="e">
        <f t="shared" si="26"/>
        <v>#REF!</v>
      </c>
      <c r="V217" s="95" t="e">
        <f t="shared" si="19"/>
        <v>#REF!</v>
      </c>
      <c r="W217" s="104" t="e">
        <f t="shared" si="24"/>
        <v>#REF!</v>
      </c>
    </row>
    <row r="218" spans="2:23" x14ac:dyDescent="0.2">
      <c r="B218" s="102">
        <f t="shared" si="20"/>
        <v>9.5000000000000001E-2</v>
      </c>
      <c r="C218" s="18" t="e">
        <f t="shared" si="25"/>
        <v>#REF!</v>
      </c>
      <c r="D218" s="18" t="e">
        <f t="shared" si="25"/>
        <v>#REF!</v>
      </c>
      <c r="E218" s="95" t="e">
        <f t="shared" si="21"/>
        <v>#REF!</v>
      </c>
      <c r="F218" s="104" t="e">
        <f t="shared" si="22"/>
        <v>#REF!</v>
      </c>
      <c r="S218" s="102">
        <f t="shared" si="23"/>
        <v>1.25</v>
      </c>
      <c r="T218" s="18" t="e">
        <f t="shared" si="26"/>
        <v>#REF!</v>
      </c>
      <c r="U218" s="18" t="e">
        <f t="shared" si="26"/>
        <v>#REF!</v>
      </c>
      <c r="V218" s="95" t="e">
        <f t="shared" si="19"/>
        <v>#REF!</v>
      </c>
      <c r="W218" s="104" t="e">
        <f t="shared" si="24"/>
        <v>#REF!</v>
      </c>
    </row>
    <row r="219" spans="2:23" x14ac:dyDescent="0.2">
      <c r="B219" s="24"/>
    </row>
    <row r="220" spans="2:23" x14ac:dyDescent="0.2">
      <c r="B220" s="24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/>
  </sheetPr>
  <dimension ref="A1:Q26"/>
  <sheetViews>
    <sheetView workbookViewId="0"/>
  </sheetViews>
  <sheetFormatPr defaultRowHeight="15" x14ac:dyDescent="0.2"/>
  <cols>
    <col min="2" max="2" width="28.21875" bestFit="1" customWidth="1"/>
    <col min="3" max="14" width="13.21875" customWidth="1"/>
    <col min="15" max="17" width="11.5546875" hidden="1" customWidth="1"/>
    <col min="19" max="19" width="10.77734375" bestFit="1" customWidth="1"/>
  </cols>
  <sheetData>
    <row r="1" spans="1:17" ht="18" x14ac:dyDescent="0.25">
      <c r="A1" s="3" t="str">
        <f ca="1">MID(CELL("filename",A2),FIND("]",CELL("filename",A2))+1,256)</f>
        <v>Thresholds</v>
      </c>
    </row>
    <row r="2" spans="1:17" x14ac:dyDescent="0.2">
      <c r="A2" s="4" t="s">
        <v>74</v>
      </c>
    </row>
    <row r="4" spans="1:17" ht="21" x14ac:dyDescent="0.35">
      <c r="B4" s="6" t="s">
        <v>56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</row>
    <row r="6" spans="1:17" ht="15.75" x14ac:dyDescent="0.25">
      <c r="B6" s="5" t="s">
        <v>56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.75" x14ac:dyDescent="0.25">
      <c r="B7" s="7" t="s">
        <v>54</v>
      </c>
      <c r="C7" s="14" t="str">
        <f t="array" ref="C7:Q7">TRANSPOSE(Calculation!C8:C13)</f>
        <v>Option 1A</v>
      </c>
      <c r="D7" s="14" t="str">
        <v>Option 1B</v>
      </c>
      <c r="E7" s="14" t="str">
        <v>Option 1C</v>
      </c>
      <c r="F7" s="14" t="str">
        <v>Option 1D</v>
      </c>
      <c r="G7" s="14" t="str">
        <v>Option 5A</v>
      </c>
      <c r="H7" s="14" t="str">
        <v>Option 5B</v>
      </c>
      <c r="I7" s="14" t="e">
        <v>#N/A</v>
      </c>
      <c r="J7" s="14" t="e">
        <v>#N/A</v>
      </c>
      <c r="K7" s="14" t="e">
        <v>#N/A</v>
      </c>
      <c r="L7" s="14" t="e">
        <v>#N/A</v>
      </c>
      <c r="M7" s="14" t="e">
        <v>#N/A</v>
      </c>
      <c r="N7" s="14" t="e">
        <v>#N/A</v>
      </c>
      <c r="O7" s="14" t="e">
        <v>#N/A</v>
      </c>
      <c r="P7" s="14" t="e">
        <v>#N/A</v>
      </c>
      <c r="Q7" s="14" t="e">
        <v>#N/A</v>
      </c>
    </row>
    <row r="8" spans="1:17" x14ac:dyDescent="0.2">
      <c r="B8" s="2" t="s">
        <v>38</v>
      </c>
      <c r="C8" s="18">
        <f t="array" ref="C8:Q8">TRANSPOSE(Calculation!F8:F13)</f>
        <v>217876111.24950811</v>
      </c>
      <c r="D8" s="18">
        <v>149459233.8321102</v>
      </c>
      <c r="E8" s="18">
        <v>14771397.611105647</v>
      </c>
      <c r="F8" s="18">
        <v>54257097.620131977</v>
      </c>
      <c r="G8" s="18">
        <v>-88675982.718727261</v>
      </c>
      <c r="H8" s="18">
        <v>133128527.5081757</v>
      </c>
      <c r="I8" s="18" t="e">
        <v>#N/A</v>
      </c>
      <c r="J8" s="18" t="e">
        <v>#N/A</v>
      </c>
      <c r="K8" s="18" t="e">
        <v>#N/A</v>
      </c>
      <c r="L8" s="18" t="e">
        <v>#N/A</v>
      </c>
      <c r="M8" s="18" t="e">
        <v>#N/A</v>
      </c>
      <c r="N8" s="18" t="e">
        <v>#N/A</v>
      </c>
      <c r="O8" s="18" t="e">
        <v>#N/A</v>
      </c>
      <c r="P8" s="18" t="e">
        <v>#N/A</v>
      </c>
      <c r="Q8" s="18" t="e">
        <v>#N/A</v>
      </c>
    </row>
    <row r="10" spans="1:17" ht="21" x14ac:dyDescent="0.35">
      <c r="B10" s="6" t="s">
        <v>64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</row>
    <row r="12" spans="1:17" ht="15.75" x14ac:dyDescent="0.25">
      <c r="B12" s="5" t="s">
        <v>64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ht="15.75" x14ac:dyDescent="0.25">
      <c r="B13" s="11" t="s">
        <v>6</v>
      </c>
      <c r="C13" s="14" t="str">
        <f>+C7</f>
        <v>Option 1A</v>
      </c>
      <c r="D13" s="14" t="str">
        <f t="shared" ref="D13:Q13" si="0">+D7</f>
        <v>Option 1B</v>
      </c>
      <c r="E13" s="14" t="str">
        <f t="shared" si="0"/>
        <v>Option 1C</v>
      </c>
      <c r="F13" s="14" t="str">
        <f t="shared" si="0"/>
        <v>Option 1D</v>
      </c>
      <c r="G13" s="14" t="str">
        <f t="shared" si="0"/>
        <v>Option 5A</v>
      </c>
      <c r="H13" s="14" t="str">
        <f t="shared" si="0"/>
        <v>Option 5B</v>
      </c>
      <c r="I13" s="14" t="e">
        <f t="shared" si="0"/>
        <v>#N/A</v>
      </c>
      <c r="J13" s="14" t="e">
        <f t="shared" si="0"/>
        <v>#N/A</v>
      </c>
      <c r="K13" s="14" t="e">
        <f t="shared" si="0"/>
        <v>#N/A</v>
      </c>
      <c r="L13" s="14" t="e">
        <f t="shared" si="0"/>
        <v>#N/A</v>
      </c>
      <c r="M13" s="14" t="e">
        <f t="shared" si="0"/>
        <v>#N/A</v>
      </c>
      <c r="N13" s="14" t="e">
        <f t="shared" si="0"/>
        <v>#N/A</v>
      </c>
      <c r="O13" s="14" t="e">
        <f t="shared" si="0"/>
        <v>#N/A</v>
      </c>
      <c r="P13" s="14" t="e">
        <f t="shared" si="0"/>
        <v>#N/A</v>
      </c>
      <c r="Q13" s="14" t="e">
        <f t="shared" si="0"/>
        <v>#N/A</v>
      </c>
    </row>
    <row r="14" spans="1:17" x14ac:dyDescent="0.2">
      <c r="B14" s="10" t="str">
        <f>+'R1 Interface and results'!B12</f>
        <v>Commercial discount rate</v>
      </c>
      <c r="C14" s="106">
        <v>298440.12316813995</v>
      </c>
      <c r="D14" s="106">
        <v>0.43962577636799804</v>
      </c>
      <c r="E14" s="106">
        <v>0.15210723456277989</v>
      </c>
      <c r="F14" s="106">
        <v>308341.06560251734</v>
      </c>
      <c r="G14" s="106">
        <v>39428654.516976878</v>
      </c>
      <c r="H14" s="106">
        <v>8.265765402748676E-2</v>
      </c>
      <c r="I14" s="106">
        <v>0</v>
      </c>
      <c r="J14" s="106">
        <v>0</v>
      </c>
      <c r="K14" s="106">
        <v>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</row>
    <row r="15" spans="1:17" x14ac:dyDescent="0.2">
      <c r="B15" s="2" t="str">
        <f>+'R1 Interface and results'!B13</f>
        <v>Capital cost</v>
      </c>
      <c r="C15" s="106">
        <v>2.7315799991160281</v>
      </c>
      <c r="D15" s="106">
        <v>6.8560146867398792</v>
      </c>
      <c r="E15" s="106">
        <v>1.1653437541161826</v>
      </c>
      <c r="F15" s="106">
        <v>2.5536594138632434</v>
      </c>
      <c r="G15" s="106">
        <v>-335543.32</v>
      </c>
      <c r="H15" s="106">
        <v>1.1300517662999088</v>
      </c>
      <c r="I15" s="106">
        <v>0</v>
      </c>
      <c r="J15" s="106">
        <v>0</v>
      </c>
      <c r="K15" s="106">
        <v>0</v>
      </c>
      <c r="L15" s="106">
        <v>0</v>
      </c>
      <c r="M15" s="106">
        <v>0</v>
      </c>
      <c r="N15" s="106">
        <v>0</v>
      </c>
      <c r="O15" s="106">
        <v>0</v>
      </c>
      <c r="P15" s="106">
        <v>0</v>
      </c>
      <c r="Q15" s="106">
        <v>0</v>
      </c>
    </row>
    <row r="16" spans="1:17" x14ac:dyDescent="0.2">
      <c r="B16" s="2" t="e">
        <f>+'R1 Interface and results'!#REF!</f>
        <v>#REF!</v>
      </c>
      <c r="C16" s="106">
        <v>-335543.32</v>
      </c>
      <c r="D16" s="106">
        <v>-335543.32</v>
      </c>
      <c r="E16" s="106">
        <v>-335543.32</v>
      </c>
      <c r="F16" s="106">
        <v>-335543.32</v>
      </c>
      <c r="G16" s="106">
        <v>-335543.32</v>
      </c>
      <c r="H16" s="106">
        <v>-335543.32</v>
      </c>
      <c r="I16" s="106">
        <v>0</v>
      </c>
      <c r="J16" s="106">
        <v>0</v>
      </c>
      <c r="K16" s="106">
        <v>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</row>
    <row r="20" spans="2:4" ht="21" x14ac:dyDescent="0.35">
      <c r="B20" s="6" t="s">
        <v>79</v>
      </c>
      <c r="C20" s="6"/>
      <c r="D20" s="6"/>
    </row>
    <row r="22" spans="2:4" ht="15.75" x14ac:dyDescent="0.25">
      <c r="B22" s="5" t="s">
        <v>64</v>
      </c>
      <c r="C22" s="5"/>
      <c r="D22" s="5"/>
    </row>
    <row r="23" spans="2:4" ht="15.75" x14ac:dyDescent="0.25">
      <c r="B23" s="11" t="s">
        <v>6</v>
      </c>
      <c r="C23" s="103" t="e">
        <f>'R1 Interface and results'!#REF!</f>
        <v>#REF!</v>
      </c>
      <c r="D23" s="103" t="e">
        <f>+'R1 Interface and results'!#REF!</f>
        <v>#REF!</v>
      </c>
    </row>
    <row r="24" spans="2:4" x14ac:dyDescent="0.2">
      <c r="B24" s="10" t="str">
        <f>+B14</f>
        <v>Commercial discount rate</v>
      </c>
      <c r="C24" s="106" t="e">
        <f t="shared" ref="C24:D26" si="1">INDEX($C$14:$Q$17,MATCH($B24,$B$14:$B$17,0),MATCH(C$23,$C$13:$Q$13,0))</f>
        <v>#REF!</v>
      </c>
      <c r="D24" s="106" t="e">
        <f t="shared" si="1"/>
        <v>#REF!</v>
      </c>
    </row>
    <row r="25" spans="2:4" x14ac:dyDescent="0.2">
      <c r="B25" s="10" t="str">
        <f>+B15</f>
        <v>Capital cost</v>
      </c>
      <c r="C25" s="106" t="e">
        <f t="shared" si="1"/>
        <v>#REF!</v>
      </c>
      <c r="D25" s="106" t="e">
        <f t="shared" si="1"/>
        <v>#REF!</v>
      </c>
    </row>
    <row r="26" spans="2:4" x14ac:dyDescent="0.2">
      <c r="B26" s="10" t="e">
        <f>+B16</f>
        <v>#REF!</v>
      </c>
      <c r="C26" s="106" t="e">
        <f t="shared" si="1"/>
        <v>#REF!</v>
      </c>
      <c r="D26" s="106" t="e">
        <f t="shared" si="1"/>
        <v>#REF!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4782504B59CD43BDF97C5C55CB9D52" ma:contentTypeVersion="1" ma:contentTypeDescription="Create a new document." ma:contentTypeScope="" ma:versionID="245ec07bf3999e5ce729410d237f67a0">
  <xsd:schema xmlns:xsd="http://www.w3.org/2001/XMLSchema" xmlns:xs="http://www.w3.org/2001/XMLSchema" xmlns:p="http://schemas.microsoft.com/office/2006/metadata/properties" xmlns:ns2="9d0d1366-599b-4f21-9efe-be9e1bd6db71" targetNamespace="http://schemas.microsoft.com/office/2006/metadata/properties" ma:root="true" ma:fieldsID="8f49b04f30d4890cf5bd18cb47c60aa0" ns2:_="">
    <xsd:import namespace="9d0d1366-599b-4f21-9efe-be9e1bd6db7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0d1366-599b-4f21-9efe-be9e1bd6db7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7D1C10-F03C-4AA2-B67E-22A87A7DB5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0d1366-599b-4f21-9efe-be9e1bd6db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7061CBA-415D-48D3-8C79-21C27D57DF21}">
  <ds:schemaRefs>
    <ds:schemaRef ds:uri="http://schemas.microsoft.com/office/2006/metadata/properties"/>
    <ds:schemaRef ds:uri="9d0d1366-599b-4f21-9efe-be9e1bd6db7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24</vt:i4>
      </vt:variant>
    </vt:vector>
  </HeadingPairs>
  <TitlesOfParts>
    <vt:vector size="33" baseType="lpstr">
      <vt:lpstr>Overview of the model</vt:lpstr>
      <vt:lpstr>R1 Interface and results</vt:lpstr>
      <vt:lpstr>R2 Chart tables</vt:lpstr>
      <vt:lpstr>R3 Charts</vt:lpstr>
      <vt:lpstr>I1 General Inputs</vt:lpstr>
      <vt:lpstr>I2 CBA Inputs</vt:lpstr>
      <vt:lpstr>Calculation</vt:lpstr>
      <vt:lpstr>Sensitivities</vt:lpstr>
      <vt:lpstr>Thresholds</vt:lpstr>
      <vt:lpstr>AnalysisPeriod</vt:lpstr>
      <vt:lpstr>BaseYear</vt:lpstr>
      <vt:lpstr>CapitalCost</vt:lpstr>
      <vt:lpstr>CapitalCost_Baseline</vt:lpstr>
      <vt:lpstr>CapitalCost_NPV1</vt:lpstr>
      <vt:lpstr>CapitalCost_Selection</vt:lpstr>
      <vt:lpstr>CapitalCost_Sen1</vt:lpstr>
      <vt:lpstr>CapitalCost_Thres1</vt:lpstr>
      <vt:lpstr>CorrMain_Thres1</vt:lpstr>
      <vt:lpstr>DiscountRate</vt:lpstr>
      <vt:lpstr>DiscountRate_Baseline</vt:lpstr>
      <vt:lpstr>DiscountRate_Selection</vt:lpstr>
      <vt:lpstr>DiscountRate_Sen1</vt:lpstr>
      <vt:lpstr>DiscountRate_Thres1</vt:lpstr>
      <vt:lpstr>DiscountRateNPV1</vt:lpstr>
      <vt:lpstr>FirstYear</vt:lpstr>
      <vt:lpstr>MWh_NPV1</vt:lpstr>
      <vt:lpstr>MWh_Sen1</vt:lpstr>
      <vt:lpstr>MWh_Thres1</vt:lpstr>
      <vt:lpstr>NPV_Results</vt:lpstr>
      <vt:lpstr>NPV_Results_V</vt:lpstr>
      <vt:lpstr>RoutineMain</vt:lpstr>
      <vt:lpstr>RoutineMain_Selection</vt:lpstr>
      <vt:lpstr>Scenario_Select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Powerlink</cp:lastModifiedBy>
  <dcterms:created xsi:type="dcterms:W3CDTF">2014-04-05T12:28:10Z</dcterms:created>
  <dcterms:modified xsi:type="dcterms:W3CDTF">2019-09-30T01:59:01Z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0x010100064782504B59CD43BDF97C5C55CB9D52</vt:lpwstr>
  </property>
</Properties>
</file>