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codeName="ThisWorkbook"/>
  <mc:AlternateContent xmlns:mc="http://schemas.openxmlformats.org/markup-compatibility/2006">
    <mc:Choice Requires="x15">
      <x15ac:absPath xmlns:x15ac="http://schemas.microsoft.com/office/spreadsheetml/2010/11/ac" url="\\HKDC01\Folder Redirection\tony.chen\Desktop\"/>
    </mc:Choice>
  </mc:AlternateContent>
  <xr:revisionPtr revIDLastSave="0" documentId="13_ncr:1_{0543FBD3-D13E-4E79-8EA0-D9F7CC701866}" xr6:coauthVersionLast="45" xr6:coauthVersionMax="45" xr10:uidLastSave="{00000000-0000-0000-0000-000000000000}"/>
  <bookViews>
    <workbookView xWindow="-120" yWindow="-16320" windowWidth="29040" windowHeight="15840" activeTab="5" xr2:uid="{A7172C6A-9CC9-48A8-B7FB-AAC674D69DB2}"/>
  </bookViews>
  <sheets>
    <sheet name="Overview of the model" sheetId="9" r:id="rId1"/>
    <sheet name="Interface and charts" sheetId="6" r:id="rId2"/>
    <sheet name="Chart tables" sheetId="13" r:id="rId3"/>
    <sheet name="Option inputs" sheetId="11" r:id="rId4"/>
    <sheet name="CBA Inputs" sheetId="4" r:id="rId5"/>
    <sheet name="Calculation" sheetId="5" r:id="rId6"/>
    <sheet name="Weighted calculations" sheetId="15" r:id="rId7"/>
  </sheets>
  <externalReferences>
    <externalReference r:id="rId8"/>
  </externalReferences>
  <definedNames>
    <definedName name="AGB_ACTIVE">Calculation!#REF!</definedName>
    <definedName name="AnalysisPeriod">'Option inputs'!$E$10</definedName>
    <definedName name="AnnualisedCapex_ACTIVE">Calculation!#REF!</definedName>
    <definedName name="BaseYear">'Option inputs'!$E$9</definedName>
    <definedName name="BreakdownResults">'Chart tables'!$D$33:$R$39</definedName>
    <definedName name="CapitalCost_ACTIVE">'CBA Inputs'!$J$12</definedName>
    <definedName name="CapitalCost_Base">'CBA Inputs'!$F$12</definedName>
    <definedName name="CapitalCost_High">'CBA Inputs'!$H$12</definedName>
    <definedName name="CapitalCost_Low">'CBA Inputs'!$G$12</definedName>
    <definedName name="CapitalCost_Selection">'CBA Inputs'!$I$12</definedName>
    <definedName name="Cost1_Selection">'CBA Inputs'!$I$13</definedName>
    <definedName name="Cost2_Selection">'CBA Inputs'!#REF!</definedName>
    <definedName name="DiscountRate">[1]Macro!$B$49</definedName>
    <definedName name="DiscountRate_ACTIVE">'CBA Inputs'!$J$8</definedName>
    <definedName name="DiscountRate_Base">'CBA Inputs'!$F$8</definedName>
    <definedName name="DiscountRate_High">'CBA Inputs'!$H$8</definedName>
    <definedName name="DiscountRate_Low">'CBA Inputs'!$G$8</definedName>
    <definedName name="DiscountRate_Selection">'CBA Inputs'!$I$8</definedName>
    <definedName name="FirstYear">'Option inputs'!$E$8</definedName>
    <definedName name="Maintenance_ACTIVE">'CBA Inputs'!#REF!</definedName>
    <definedName name="NPV_Results_H">'Chart tables'!$D$10:$T$10</definedName>
    <definedName name="NPV_Results_V">Calculation!$F$8:$F$11</definedName>
    <definedName name="NPV_Results_W">'Chart tables'!#REF!</definedName>
    <definedName name="Scenario_Select">'Interface and charts'!$D$8</definedName>
    <definedName name="Scenario1_AGB">Calculation!#REF!</definedName>
    <definedName name="Scenario1_AnnualisedCapex">Calculation!#REF!</definedName>
    <definedName name="Scenario1_BreakdownResults">'Chart tables'!$D$43:$R$49</definedName>
    <definedName name="Scenario1_Results_H">'Chart tables'!$D$14:$T$14</definedName>
    <definedName name="Scenario2_AGB">Calculation!#REF!</definedName>
    <definedName name="Scenario2_AnnualisedCapex">Calculation!#REF!</definedName>
    <definedName name="Scenario2_BreakdownResults">'Chart tables'!$D$55:$R$61</definedName>
    <definedName name="Scenario2_Results_H">'Chart tables'!$D$15:$T$15</definedName>
    <definedName name="Scenario3_AGB">Calculation!#REF!</definedName>
    <definedName name="Scenario3_AnnualisedCapex">Calculation!#REF!</definedName>
    <definedName name="Scenario3_BreakdownResults">'Chart tables'!$D$67:$R$73</definedName>
    <definedName name="Scenario3_Results_H">'Chart tables'!$D$16:$T$16</definedName>
    <definedName name="Scenario4_AGB">Calculation!#REF!</definedName>
    <definedName name="Scenario4_AnnualisedCapex">Calculation!#REF!</definedName>
    <definedName name="Scenario4_BreakdownResults">'Chart tables'!$D$79:$R$85</definedName>
    <definedName name="Scenario4_Results_H">'Chart tables'!$D$17:$T$17</definedName>
    <definedName name="Sen_CapitalCost_Central">'Chart tables'!#REF!</definedName>
    <definedName name="Sen_CapitalCost_High">'Chart tables'!#REF!</definedName>
    <definedName name="Sen_CapitalCost_Low">'Chart tables'!#REF!</definedName>
    <definedName name="Sen_DiscountRate_Central">'Chart tables'!#REF!</definedName>
    <definedName name="Sen_DiscountRate_High">'Chart tables'!#REF!</definedName>
    <definedName name="Sen_DiscountRate_Low">'Chart tables'!#REF!</definedName>
    <definedName name="StartYear">[1]Macro!$B$47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51" i="13" l="1"/>
  <c r="E119" i="13"/>
  <c r="E89" i="13"/>
  <c r="I8" i="6" l="1"/>
  <c r="C21" i="13" l="1"/>
  <c r="C18" i="13"/>
  <c r="C13" i="13"/>
  <c r="J22" i="4" l="1"/>
  <c r="J21" i="4"/>
  <c r="J20" i="4"/>
  <c r="J19" i="4"/>
  <c r="C108" i="5" l="1"/>
  <c r="C109" i="5"/>
  <c r="C110" i="5"/>
  <c r="C111" i="5"/>
  <c r="C115" i="5"/>
  <c r="C116" i="5"/>
  <c r="C117" i="5"/>
  <c r="C118" i="5"/>
  <c r="C104" i="5"/>
  <c r="C103" i="5"/>
  <c r="C102" i="5"/>
  <c r="C101" i="5"/>
  <c r="C97" i="5"/>
  <c r="C96" i="5"/>
  <c r="C95" i="5"/>
  <c r="C94" i="5"/>
  <c r="C90" i="5"/>
  <c r="C89" i="5"/>
  <c r="C88" i="5"/>
  <c r="C87" i="5"/>
  <c r="C81" i="5"/>
  <c r="C80" i="5"/>
  <c r="C79" i="5"/>
  <c r="C78" i="5"/>
  <c r="C74" i="5"/>
  <c r="C73" i="5"/>
  <c r="C72" i="5"/>
  <c r="C71" i="5"/>
  <c r="C25" i="5"/>
  <c r="C24" i="5"/>
  <c r="C23" i="5"/>
  <c r="C22" i="5"/>
  <c r="C18" i="5"/>
  <c r="C17" i="5"/>
  <c r="C16" i="5"/>
  <c r="C15" i="5"/>
  <c r="C189" i="4"/>
  <c r="C188" i="4"/>
  <c r="C187" i="4"/>
  <c r="C186" i="4"/>
  <c r="C185" i="4"/>
  <c r="B185" i="4"/>
  <c r="C182" i="4"/>
  <c r="C181" i="4"/>
  <c r="C180" i="4"/>
  <c r="C179" i="4"/>
  <c r="C178" i="4"/>
  <c r="B178" i="4"/>
  <c r="C175" i="4"/>
  <c r="C174" i="4"/>
  <c r="C173" i="4"/>
  <c r="C172" i="4"/>
  <c r="C171" i="4"/>
  <c r="B171" i="4"/>
  <c r="C168" i="4"/>
  <c r="C167" i="4"/>
  <c r="C166" i="4"/>
  <c r="C165" i="4"/>
  <c r="C164" i="4"/>
  <c r="B164" i="4"/>
  <c r="C159" i="4"/>
  <c r="C158" i="4"/>
  <c r="C157" i="4"/>
  <c r="C156" i="4"/>
  <c r="C155" i="4"/>
  <c r="B155" i="4"/>
  <c r="C152" i="4"/>
  <c r="C151" i="4"/>
  <c r="C150" i="4"/>
  <c r="C149" i="4"/>
  <c r="C148" i="4"/>
  <c r="B148" i="4"/>
  <c r="C145" i="4"/>
  <c r="C144" i="4"/>
  <c r="C143" i="4"/>
  <c r="C142" i="4"/>
  <c r="C141" i="4"/>
  <c r="B141" i="4"/>
  <c r="C138" i="4"/>
  <c r="C137" i="4"/>
  <c r="C136" i="4"/>
  <c r="C135" i="4"/>
  <c r="C134" i="4"/>
  <c r="B134" i="4"/>
  <c r="C129" i="4"/>
  <c r="C128" i="4"/>
  <c r="C127" i="4"/>
  <c r="C126" i="4"/>
  <c r="C125" i="4"/>
  <c r="B125" i="4"/>
  <c r="C122" i="4"/>
  <c r="C121" i="4"/>
  <c r="C120" i="4"/>
  <c r="C119" i="4"/>
  <c r="C118" i="4"/>
  <c r="B118" i="4"/>
  <c r="C115" i="4"/>
  <c r="C114" i="4"/>
  <c r="C113" i="4"/>
  <c r="C112" i="4"/>
  <c r="C111" i="4"/>
  <c r="B111" i="4"/>
  <c r="C108" i="4"/>
  <c r="C107" i="4"/>
  <c r="C106" i="4"/>
  <c r="C105" i="4"/>
  <c r="C104" i="4"/>
  <c r="B104" i="4"/>
  <c r="C99" i="4"/>
  <c r="C98" i="4"/>
  <c r="C97" i="4"/>
  <c r="C96" i="4"/>
  <c r="C95" i="4"/>
  <c r="B95" i="4"/>
  <c r="C92" i="4"/>
  <c r="C91" i="4"/>
  <c r="C90" i="4"/>
  <c r="C89" i="4"/>
  <c r="C88" i="4"/>
  <c r="B88" i="4"/>
  <c r="C85" i="4"/>
  <c r="C84" i="4"/>
  <c r="C83" i="4"/>
  <c r="C82" i="4"/>
  <c r="C81" i="4"/>
  <c r="B81" i="4"/>
  <c r="C78" i="4"/>
  <c r="C77" i="4"/>
  <c r="C76" i="4"/>
  <c r="C75" i="4"/>
  <c r="C74" i="4"/>
  <c r="B74" i="4"/>
  <c r="C69" i="4"/>
  <c r="C68" i="4"/>
  <c r="C67" i="4"/>
  <c r="C66" i="4"/>
  <c r="C65" i="4"/>
  <c r="B65" i="4"/>
  <c r="C62" i="4"/>
  <c r="C61" i="4"/>
  <c r="C60" i="4"/>
  <c r="C59" i="4"/>
  <c r="C58" i="4"/>
  <c r="B58" i="4"/>
  <c r="C55" i="4"/>
  <c r="C54" i="4"/>
  <c r="C53" i="4"/>
  <c r="C52" i="4"/>
  <c r="C51" i="4"/>
  <c r="B51" i="4"/>
  <c r="C48" i="4"/>
  <c r="C47" i="4"/>
  <c r="C46" i="4"/>
  <c r="C45" i="4"/>
  <c r="C44" i="4"/>
  <c r="B44" i="4"/>
  <c r="B33" i="4"/>
  <c r="D9" i="13" l="1" a="1"/>
  <c r="D9" i="13" s="1"/>
  <c r="D42" i="13" s="1"/>
  <c r="R9" i="13" l="1"/>
  <c r="J9" i="13"/>
  <c r="N9" i="13"/>
  <c r="F9" i="13"/>
  <c r="F42" i="13" s="1"/>
  <c r="S9" i="13"/>
  <c r="K9" i="13"/>
  <c r="O9" i="13"/>
  <c r="G9" i="13"/>
  <c r="G42" i="13" s="1"/>
  <c r="Q9" i="13"/>
  <c r="M9" i="13"/>
  <c r="I9" i="13"/>
  <c r="E9" i="13"/>
  <c r="E42" i="13" s="1"/>
  <c r="T9" i="13"/>
  <c r="P9" i="13"/>
  <c r="L9" i="13"/>
  <c r="H9" i="13"/>
  <c r="D170" i="4" l="1"/>
  <c r="D140" i="4"/>
  <c r="D110" i="4"/>
  <c r="D80" i="4"/>
  <c r="D94" i="4"/>
  <c r="D87" i="4"/>
  <c r="D73" i="4"/>
  <c r="J18" i="4" l="1"/>
  <c r="B19" i="6" l="1"/>
  <c r="B57" i="6" s="1"/>
  <c r="B39" i="6" l="1"/>
  <c r="AD19" i="6"/>
  <c r="U19" i="6"/>
  <c r="L19" i="6"/>
  <c r="K19" i="6"/>
  <c r="C19" i="6"/>
  <c r="L39" i="6" l="1"/>
  <c r="L57" i="6"/>
  <c r="U39" i="6"/>
  <c r="U57" i="6"/>
  <c r="C57" i="6"/>
  <c r="C39" i="6"/>
  <c r="AD39" i="6"/>
  <c r="AD57" i="6"/>
  <c r="K39" i="6"/>
  <c r="K57" i="6"/>
  <c r="J10" i="6"/>
  <c r="B27" i="4"/>
  <c r="D62" i="5" l="1"/>
  <c r="D59" i="5"/>
  <c r="D67" i="5" s="1"/>
  <c r="C59" i="5"/>
  <c r="C67" i="5" s="1"/>
  <c r="D58" i="5"/>
  <c r="D66" i="5" s="1"/>
  <c r="C58" i="5"/>
  <c r="C66" i="5" s="1"/>
  <c r="D57" i="5"/>
  <c r="D65" i="5" s="1"/>
  <c r="C57" i="5"/>
  <c r="C65" i="5" s="1"/>
  <c r="D56" i="5"/>
  <c r="D64" i="5" s="1"/>
  <c r="C56" i="5"/>
  <c r="C64" i="5" s="1"/>
  <c r="D55" i="5"/>
  <c r="D63" i="5" s="1"/>
  <c r="C55" i="5"/>
  <c r="C63" i="5" s="1"/>
  <c r="AK54" i="5"/>
  <c r="F54" i="5"/>
  <c r="D54" i="5"/>
  <c r="B29" i="4"/>
  <c r="B59" i="5" s="1"/>
  <c r="B67" i="5" s="1"/>
  <c r="B28" i="4"/>
  <c r="B58" i="5" s="1"/>
  <c r="B66" i="5" s="1"/>
  <c r="B57" i="5"/>
  <c r="B65" i="5" s="1"/>
  <c r="B26" i="4"/>
  <c r="B56" i="5" s="1"/>
  <c r="B64" i="5" s="1"/>
  <c r="B25" i="4"/>
  <c r="B55" i="5" s="1"/>
  <c r="B63" i="5" s="1"/>
  <c r="B1" i="13" l="1"/>
  <c r="D50" i="13" l="1"/>
  <c r="E50" i="13"/>
  <c r="F50" i="13"/>
  <c r="G50" i="13"/>
  <c r="E17" i="15" l="1"/>
  <c r="F17" i="15" s="1"/>
  <c r="E14" i="15"/>
  <c r="F13" i="15"/>
  <c r="F14" i="15" s="1"/>
  <c r="G31" i="5"/>
  <c r="H30" i="5"/>
  <c r="H31" i="5" s="1"/>
  <c r="D62" i="13"/>
  <c r="E62" i="13"/>
  <c r="F62" i="13"/>
  <c r="G62" i="13"/>
  <c r="F35" i="15" l="1"/>
  <c r="E36" i="15"/>
  <c r="F34" i="15"/>
  <c r="G13" i="15"/>
  <c r="H13" i="15" s="1"/>
  <c r="I13" i="15" s="1"/>
  <c r="E35" i="15"/>
  <c r="E147" i="15"/>
  <c r="E145" i="15"/>
  <c r="E142" i="15"/>
  <c r="E140" i="15"/>
  <c r="E135" i="15"/>
  <c r="E133" i="15"/>
  <c r="E153" i="15"/>
  <c r="E151" i="15"/>
  <c r="E130" i="15"/>
  <c r="E128" i="15"/>
  <c r="E148" i="15"/>
  <c r="E146" i="15"/>
  <c r="E141" i="15"/>
  <c r="E139" i="15"/>
  <c r="E136" i="15"/>
  <c r="E134" i="15"/>
  <c r="E154" i="15"/>
  <c r="E152" i="15"/>
  <c r="E129" i="15"/>
  <c r="E127" i="15"/>
  <c r="E123" i="15"/>
  <c r="E116" i="15"/>
  <c r="E115" i="15"/>
  <c r="E110" i="15"/>
  <c r="E108" i="15"/>
  <c r="D107" i="13" s="1"/>
  <c r="E105" i="15"/>
  <c r="E103" i="15"/>
  <c r="E121" i="15"/>
  <c r="E98" i="15"/>
  <c r="E96" i="15"/>
  <c r="D105" i="13" s="1"/>
  <c r="E92" i="15"/>
  <c r="E90" i="15"/>
  <c r="E114" i="15"/>
  <c r="D108" i="13" s="1"/>
  <c r="E111" i="15"/>
  <c r="E109" i="15"/>
  <c r="E104" i="15"/>
  <c r="E102" i="15"/>
  <c r="D106" i="13" s="1"/>
  <c r="E122" i="15"/>
  <c r="E120" i="15"/>
  <c r="D109" i="13" s="1"/>
  <c r="E117" i="15"/>
  <c r="E99" i="15"/>
  <c r="E97" i="15"/>
  <c r="E91" i="15"/>
  <c r="E89" i="15"/>
  <c r="E79" i="15"/>
  <c r="E77" i="15"/>
  <c r="E74" i="15"/>
  <c r="E72" i="15"/>
  <c r="E67" i="15"/>
  <c r="E65" i="15"/>
  <c r="E61" i="15"/>
  <c r="E59" i="15"/>
  <c r="E84" i="15"/>
  <c r="E83" i="15"/>
  <c r="E80" i="15"/>
  <c r="E78" i="15"/>
  <c r="E73" i="15"/>
  <c r="E71" i="15"/>
  <c r="E68" i="15"/>
  <c r="E66" i="15"/>
  <c r="E60" i="15"/>
  <c r="E58" i="15"/>
  <c r="E86" i="15"/>
  <c r="E85" i="15"/>
  <c r="E37" i="15"/>
  <c r="E55" i="15"/>
  <c r="E53" i="15"/>
  <c r="E48" i="15"/>
  <c r="E46" i="15"/>
  <c r="E43" i="15"/>
  <c r="E41" i="15"/>
  <c r="E54" i="15"/>
  <c r="E52" i="15"/>
  <c r="E49" i="15"/>
  <c r="E47" i="15"/>
  <c r="E42" i="15"/>
  <c r="E40" i="15"/>
  <c r="F153" i="15"/>
  <c r="F151" i="15"/>
  <c r="F130" i="15"/>
  <c r="F128" i="15"/>
  <c r="F148" i="15"/>
  <c r="F146" i="15"/>
  <c r="F141" i="15"/>
  <c r="F139" i="15"/>
  <c r="F136" i="15"/>
  <c r="F134" i="15"/>
  <c r="F154" i="15"/>
  <c r="F152" i="15"/>
  <c r="F129" i="15"/>
  <c r="F127" i="15"/>
  <c r="F123" i="15"/>
  <c r="F147" i="15"/>
  <c r="F145" i="15"/>
  <c r="F142" i="15"/>
  <c r="F140" i="15"/>
  <c r="F135" i="15"/>
  <c r="F133" i="15"/>
  <c r="F121" i="15"/>
  <c r="F98" i="15"/>
  <c r="F96" i="15"/>
  <c r="E105" i="13" s="1"/>
  <c r="F92" i="15"/>
  <c r="F90" i="15"/>
  <c r="F114" i="15"/>
  <c r="E108" i="13" s="1"/>
  <c r="F111" i="15"/>
  <c r="F109" i="15"/>
  <c r="F104" i="15"/>
  <c r="F102" i="15"/>
  <c r="E106" i="13" s="1"/>
  <c r="F122" i="15"/>
  <c r="F120" i="15"/>
  <c r="E109" i="13" s="1"/>
  <c r="F117" i="15"/>
  <c r="F99" i="15"/>
  <c r="F97" i="15"/>
  <c r="F91" i="15"/>
  <c r="F89" i="15"/>
  <c r="F116" i="15"/>
  <c r="F115" i="15"/>
  <c r="F110" i="15"/>
  <c r="F108" i="15"/>
  <c r="E107" i="13" s="1"/>
  <c r="F105" i="15"/>
  <c r="F103" i="15"/>
  <c r="F84" i="15"/>
  <c r="F83" i="15"/>
  <c r="F80" i="15"/>
  <c r="F78" i="15"/>
  <c r="F73" i="15"/>
  <c r="F71" i="15"/>
  <c r="F68" i="15"/>
  <c r="F66" i="15"/>
  <c r="F60" i="15"/>
  <c r="F58" i="15"/>
  <c r="F86" i="15"/>
  <c r="F85" i="15"/>
  <c r="F79" i="15"/>
  <c r="F77" i="15"/>
  <c r="F74" i="15"/>
  <c r="F72" i="15"/>
  <c r="F67" i="15"/>
  <c r="F65" i="15"/>
  <c r="F61" i="15"/>
  <c r="F59" i="15"/>
  <c r="F55" i="15"/>
  <c r="F53" i="15"/>
  <c r="F48" i="15"/>
  <c r="F46" i="15"/>
  <c r="F43" i="15"/>
  <c r="F41" i="15"/>
  <c r="F54" i="15"/>
  <c r="F52" i="15"/>
  <c r="F49" i="15"/>
  <c r="F47" i="15"/>
  <c r="F42" i="15"/>
  <c r="F40" i="15"/>
  <c r="F37" i="15"/>
  <c r="F36" i="15"/>
  <c r="E34" i="15"/>
  <c r="I30" i="5"/>
  <c r="J30" i="5" s="1"/>
  <c r="K30" i="5" s="1"/>
  <c r="L30" i="5" s="1"/>
  <c r="M30" i="5" s="1"/>
  <c r="N30" i="5" s="1"/>
  <c r="O30" i="5" s="1"/>
  <c r="P30" i="5" s="1"/>
  <c r="Q30" i="5" s="1"/>
  <c r="R30" i="5" s="1"/>
  <c r="S30" i="5" s="1"/>
  <c r="T30" i="5" s="1"/>
  <c r="U30" i="5" s="1"/>
  <c r="V30" i="5" s="1"/>
  <c r="W30" i="5" s="1"/>
  <c r="X30" i="5" s="1"/>
  <c r="Y30" i="5" s="1"/>
  <c r="Z30" i="5" s="1"/>
  <c r="AA30" i="5" s="1"/>
  <c r="AB30" i="5" s="1"/>
  <c r="AC30" i="5" s="1"/>
  <c r="AD30" i="5" s="1"/>
  <c r="AE30" i="5" s="1"/>
  <c r="AF30" i="5" s="1"/>
  <c r="AG30" i="5" s="1"/>
  <c r="AH30" i="5" s="1"/>
  <c r="AI30" i="5" s="1"/>
  <c r="AJ30" i="5" s="1"/>
  <c r="AJ31" i="5" s="1"/>
  <c r="E15" i="15"/>
  <c r="F15" i="15"/>
  <c r="F16" i="15"/>
  <c r="G17" i="15"/>
  <c r="E16" i="15"/>
  <c r="H14" i="15" l="1"/>
  <c r="G14" i="15"/>
  <c r="G153" i="15" s="1"/>
  <c r="AF31" i="5"/>
  <c r="J31" i="5"/>
  <c r="Y31" i="5"/>
  <c r="AE31" i="5"/>
  <c r="M31" i="5"/>
  <c r="G154" i="15"/>
  <c r="G152" i="15"/>
  <c r="G123" i="15"/>
  <c r="G151" i="15"/>
  <c r="G122" i="15"/>
  <c r="G120" i="15"/>
  <c r="F109" i="13" s="1"/>
  <c r="G89" i="15"/>
  <c r="G121" i="15"/>
  <c r="G92" i="15"/>
  <c r="G60" i="15"/>
  <c r="G58" i="15"/>
  <c r="G61" i="15"/>
  <c r="G54" i="15"/>
  <c r="G52" i="15"/>
  <c r="G49" i="15"/>
  <c r="G42" i="15"/>
  <c r="G40" i="15"/>
  <c r="G37" i="15"/>
  <c r="G55" i="15"/>
  <c r="G53" i="15"/>
  <c r="G48" i="15"/>
  <c r="G43" i="15"/>
  <c r="G41" i="15"/>
  <c r="G130" i="15"/>
  <c r="G35" i="15"/>
  <c r="G128" i="15"/>
  <c r="G34" i="15"/>
  <c r="G147" i="15"/>
  <c r="G117" i="15"/>
  <c r="G85" i="15"/>
  <c r="G86" i="15"/>
  <c r="G115" i="15"/>
  <c r="G116" i="15"/>
  <c r="G97" i="15"/>
  <c r="G148" i="15"/>
  <c r="G145" i="15"/>
  <c r="G84" i="15"/>
  <c r="G140" i="15"/>
  <c r="G80" i="15"/>
  <c r="G79" i="15"/>
  <c r="G111" i="15"/>
  <c r="G110" i="15"/>
  <c r="G78" i="15"/>
  <c r="G108" i="15"/>
  <c r="F107" i="13" s="1"/>
  <c r="G133" i="15"/>
  <c r="G77" i="15"/>
  <c r="G136" i="15"/>
  <c r="G104" i="15"/>
  <c r="G72" i="15"/>
  <c r="G139" i="15"/>
  <c r="G134" i="15"/>
  <c r="G109" i="15"/>
  <c r="G135" i="15"/>
  <c r="G74" i="15"/>
  <c r="H68" i="15"/>
  <c r="H128" i="15"/>
  <c r="H97" i="15"/>
  <c r="G98" i="15"/>
  <c r="H154" i="15"/>
  <c r="H152" i="15"/>
  <c r="H123" i="15"/>
  <c r="H153" i="15"/>
  <c r="H151" i="15"/>
  <c r="H122" i="15"/>
  <c r="H120" i="15"/>
  <c r="G109" i="13" s="1"/>
  <c r="H91" i="15"/>
  <c r="H89" i="15"/>
  <c r="H121" i="15"/>
  <c r="H115" i="15"/>
  <c r="H92" i="15"/>
  <c r="H90" i="15"/>
  <c r="H61" i="15"/>
  <c r="H59" i="15"/>
  <c r="H60" i="15"/>
  <c r="H58" i="15"/>
  <c r="H54" i="15"/>
  <c r="H52" i="15"/>
  <c r="H49" i="15"/>
  <c r="H47" i="15"/>
  <c r="H42" i="15"/>
  <c r="H40" i="15"/>
  <c r="H37" i="15"/>
  <c r="H36" i="15"/>
  <c r="H55" i="15"/>
  <c r="H53" i="15"/>
  <c r="H48" i="15"/>
  <c r="H46" i="15"/>
  <c r="H43" i="15"/>
  <c r="H41" i="15"/>
  <c r="H35" i="15"/>
  <c r="H34" i="15"/>
  <c r="H114" i="15"/>
  <c r="G108" i="13" s="1"/>
  <c r="H86" i="15"/>
  <c r="H147" i="15"/>
  <c r="H145" i="15"/>
  <c r="H85" i="15"/>
  <c r="H78" i="15"/>
  <c r="H116" i="15"/>
  <c r="H117" i="15"/>
  <c r="H146" i="15"/>
  <c r="H84" i="15"/>
  <c r="H83" i="15"/>
  <c r="H80" i="15"/>
  <c r="H108" i="15"/>
  <c r="G107" i="13" s="1"/>
  <c r="H139" i="15"/>
  <c r="H140" i="15"/>
  <c r="H79" i="15"/>
  <c r="H111" i="15"/>
  <c r="H142" i="15"/>
  <c r="H148" i="15"/>
  <c r="H110" i="15"/>
  <c r="H71" i="15"/>
  <c r="H136" i="15"/>
  <c r="H105" i="15"/>
  <c r="H102" i="15"/>
  <c r="G106" i="13" s="1"/>
  <c r="H72" i="15"/>
  <c r="H109" i="15"/>
  <c r="H134" i="15"/>
  <c r="H103" i="15"/>
  <c r="H77" i="15"/>
  <c r="H73" i="15"/>
  <c r="H135" i="15"/>
  <c r="H74" i="15"/>
  <c r="H141" i="15"/>
  <c r="H133" i="15"/>
  <c r="H104" i="15"/>
  <c r="H99" i="15"/>
  <c r="H65" i="15"/>
  <c r="G96" i="15"/>
  <c r="F105" i="13" s="1"/>
  <c r="G73" i="15"/>
  <c r="H127" i="15"/>
  <c r="H130" i="15"/>
  <c r="H96" i="15"/>
  <c r="G105" i="13" s="1"/>
  <c r="H66" i="15"/>
  <c r="H129" i="15"/>
  <c r="H98" i="15"/>
  <c r="H67" i="15"/>
  <c r="G68" i="15"/>
  <c r="G99" i="15"/>
  <c r="G67" i="15"/>
  <c r="G66" i="15"/>
  <c r="G71" i="15"/>
  <c r="S31" i="5"/>
  <c r="AD31" i="5"/>
  <c r="AC31" i="5"/>
  <c r="P31" i="5"/>
  <c r="O31" i="5"/>
  <c r="Z31" i="5"/>
  <c r="U31" i="5"/>
  <c r="T31" i="5"/>
  <c r="AI31" i="5"/>
  <c r="AG31" i="5"/>
  <c r="N31" i="5"/>
  <c r="AB31" i="5"/>
  <c r="L31" i="5"/>
  <c r="AA31" i="5"/>
  <c r="K31" i="5"/>
  <c r="AI35" i="5"/>
  <c r="V31" i="5"/>
  <c r="AJ35" i="5"/>
  <c r="Q31" i="5"/>
  <c r="X31" i="5"/>
  <c r="AH35" i="5"/>
  <c r="W31" i="5"/>
  <c r="AG35" i="5"/>
  <c r="AH31" i="5"/>
  <c r="R31" i="5"/>
  <c r="I31" i="5"/>
  <c r="J13" i="15"/>
  <c r="I14" i="15"/>
  <c r="G16" i="15"/>
  <c r="H17" i="15"/>
  <c r="G15" i="15"/>
  <c r="B10" i="15"/>
  <c r="B9" i="15"/>
  <c r="B8" i="15"/>
  <c r="B7" i="15"/>
  <c r="G86" i="13"/>
  <c r="F86" i="13"/>
  <c r="E86" i="13"/>
  <c r="D86" i="13"/>
  <c r="G74" i="13"/>
  <c r="F74" i="13"/>
  <c r="E74" i="13"/>
  <c r="D74" i="13"/>
  <c r="D18" i="13"/>
  <c r="E22" i="13"/>
  <c r="F22" i="13"/>
  <c r="G22" i="13"/>
  <c r="E23" i="13"/>
  <c r="F23" i="13"/>
  <c r="G23" i="13"/>
  <c r="E24" i="13"/>
  <c r="F24" i="13"/>
  <c r="G24" i="13"/>
  <c r="E25" i="13"/>
  <c r="F25" i="13"/>
  <c r="G25" i="13"/>
  <c r="E18" i="13"/>
  <c r="F18" i="13"/>
  <c r="G18" i="13"/>
  <c r="D66" i="13"/>
  <c r="D43" i="5"/>
  <c r="D42" i="5"/>
  <c r="D41" i="5"/>
  <c r="D40" i="5"/>
  <c r="D39" i="5"/>
  <c r="G65" i="15" l="1"/>
  <c r="G102" i="15"/>
  <c r="F106" i="13" s="1"/>
  <c r="G103" i="15"/>
  <c r="G105" i="15"/>
  <c r="G141" i="15"/>
  <c r="G142" i="15"/>
  <c r="G114" i="15"/>
  <c r="F108" i="13" s="1"/>
  <c r="G83" i="15"/>
  <c r="G146" i="15"/>
  <c r="G127" i="15"/>
  <c r="G129" i="15"/>
  <c r="G46" i="15"/>
  <c r="G36" i="15"/>
  <c r="G47" i="15"/>
  <c r="G59" i="15"/>
  <c r="G90" i="15"/>
  <c r="G91" i="15"/>
  <c r="I68" i="15"/>
  <c r="I97" i="15"/>
  <c r="I128" i="15"/>
  <c r="I99" i="15"/>
  <c r="I127" i="15"/>
  <c r="I65" i="15"/>
  <c r="I130" i="15"/>
  <c r="I98" i="15"/>
  <c r="I66" i="15"/>
  <c r="I67" i="15"/>
  <c r="I153" i="15"/>
  <c r="I151" i="15"/>
  <c r="I154" i="15"/>
  <c r="I152" i="15"/>
  <c r="I123" i="15"/>
  <c r="I121" i="15"/>
  <c r="I92" i="15"/>
  <c r="I90" i="15"/>
  <c r="I122" i="15"/>
  <c r="I120" i="15"/>
  <c r="H109" i="13" s="1"/>
  <c r="I91" i="15"/>
  <c r="I89" i="15"/>
  <c r="I83" i="15"/>
  <c r="I61" i="15"/>
  <c r="I59" i="15"/>
  <c r="I85" i="15"/>
  <c r="I60" i="15"/>
  <c r="I58" i="15"/>
  <c r="I55" i="15"/>
  <c r="I53" i="15"/>
  <c r="I48" i="15"/>
  <c r="I46" i="15"/>
  <c r="I43" i="15"/>
  <c r="I41" i="15"/>
  <c r="I54" i="15"/>
  <c r="I52" i="15"/>
  <c r="I49" i="15"/>
  <c r="I47" i="15"/>
  <c r="I42" i="15"/>
  <c r="I40" i="15"/>
  <c r="I34" i="15"/>
  <c r="I86" i="15"/>
  <c r="I116" i="15"/>
  <c r="I117" i="15"/>
  <c r="I84" i="15"/>
  <c r="I145" i="15"/>
  <c r="I146" i="15"/>
  <c r="I147" i="15"/>
  <c r="I80" i="15"/>
  <c r="I108" i="15"/>
  <c r="H107" i="13" s="1"/>
  <c r="I139" i="15"/>
  <c r="I114" i="15"/>
  <c r="H108" i="13" s="1"/>
  <c r="I78" i="15"/>
  <c r="I111" i="15"/>
  <c r="I140" i="15"/>
  <c r="I148" i="15"/>
  <c r="I115" i="15"/>
  <c r="I109" i="15"/>
  <c r="I141" i="15"/>
  <c r="I73" i="15"/>
  <c r="I79" i="15"/>
  <c r="I134" i="15"/>
  <c r="I110" i="15"/>
  <c r="I77" i="15"/>
  <c r="I71" i="15"/>
  <c r="I142" i="15"/>
  <c r="I133" i="15"/>
  <c r="I135" i="15"/>
  <c r="I104" i="15"/>
  <c r="I74" i="15"/>
  <c r="I37" i="15"/>
  <c r="I35" i="15"/>
  <c r="I136" i="15"/>
  <c r="I105" i="15"/>
  <c r="I102" i="15"/>
  <c r="H106" i="13" s="1"/>
  <c r="I103" i="15"/>
  <c r="I72" i="15"/>
  <c r="I36" i="15"/>
  <c r="I129" i="15"/>
  <c r="I96" i="15"/>
  <c r="H105" i="13" s="1"/>
  <c r="H16" i="15"/>
  <c r="I17" i="15"/>
  <c r="H15" i="15"/>
  <c r="J14" i="15"/>
  <c r="K13" i="15"/>
  <c r="G26" i="13"/>
  <c r="F26" i="13"/>
  <c r="E26" i="13"/>
  <c r="D54" i="13"/>
  <c r="D21" i="13"/>
  <c r="D13" i="13"/>
  <c r="D32" i="13"/>
  <c r="D78" i="13"/>
  <c r="B154" i="15"/>
  <c r="B153" i="15"/>
  <c r="B152" i="15"/>
  <c r="B151" i="15"/>
  <c r="B148" i="15"/>
  <c r="B147" i="15"/>
  <c r="B146" i="15"/>
  <c r="B145" i="15"/>
  <c r="B142" i="15"/>
  <c r="B141" i="15"/>
  <c r="B140" i="15"/>
  <c r="B139" i="15"/>
  <c r="B136" i="15"/>
  <c r="B135" i="15"/>
  <c r="B134" i="15"/>
  <c r="B133" i="15"/>
  <c r="B130" i="15"/>
  <c r="B129" i="15"/>
  <c r="B128" i="15"/>
  <c r="B127" i="15"/>
  <c r="B123" i="15"/>
  <c r="B122" i="15"/>
  <c r="B121" i="15"/>
  <c r="B120" i="15"/>
  <c r="B117" i="15"/>
  <c r="B116" i="15"/>
  <c r="B115" i="15"/>
  <c r="B114" i="15"/>
  <c r="B111" i="15"/>
  <c r="B110" i="15"/>
  <c r="B109" i="15"/>
  <c r="B108" i="15"/>
  <c r="B105" i="15"/>
  <c r="B104" i="15"/>
  <c r="B103" i="15"/>
  <c r="B102" i="15"/>
  <c r="B99" i="15"/>
  <c r="B98" i="15"/>
  <c r="B97" i="15"/>
  <c r="B96" i="15"/>
  <c r="B92" i="15"/>
  <c r="B91" i="15"/>
  <c r="B90" i="15"/>
  <c r="B89" i="15"/>
  <c r="B86" i="15"/>
  <c r="B85" i="15"/>
  <c r="B84" i="15"/>
  <c r="B83" i="15"/>
  <c r="B80" i="15"/>
  <c r="B79" i="15"/>
  <c r="B78" i="15"/>
  <c r="B77" i="15"/>
  <c r="B74" i="15"/>
  <c r="B73" i="15"/>
  <c r="B72" i="15"/>
  <c r="B71" i="15"/>
  <c r="B68" i="15"/>
  <c r="B67" i="15"/>
  <c r="B66" i="15"/>
  <c r="B65" i="15"/>
  <c r="B61" i="15"/>
  <c r="B60" i="15"/>
  <c r="B59" i="15"/>
  <c r="B58" i="15"/>
  <c r="B55" i="15"/>
  <c r="B54" i="15"/>
  <c r="B53" i="15"/>
  <c r="B52" i="15"/>
  <c r="B49" i="15"/>
  <c r="B48" i="15"/>
  <c r="B47" i="15"/>
  <c r="B46" i="15"/>
  <c r="B43" i="15"/>
  <c r="B42" i="15"/>
  <c r="B41" i="15"/>
  <c r="B40" i="15"/>
  <c r="B45" i="15"/>
  <c r="B37" i="15"/>
  <c r="B36" i="15"/>
  <c r="B35" i="15"/>
  <c r="B34" i="15"/>
  <c r="B30" i="15"/>
  <c r="B29" i="15"/>
  <c r="B28" i="15"/>
  <c r="B27" i="15"/>
  <c r="G34" i="5"/>
  <c r="T19" i="6"/>
  <c r="AC19" i="6"/>
  <c r="B21" i="6"/>
  <c r="D91" i="13" l="1"/>
  <c r="F31" i="4"/>
  <c r="T57" i="6"/>
  <c r="T39" i="6"/>
  <c r="AC39" i="6"/>
  <c r="AC57" i="6"/>
  <c r="J96" i="15"/>
  <c r="I105" i="13" s="1"/>
  <c r="J127" i="15"/>
  <c r="J99" i="15"/>
  <c r="J129" i="15"/>
  <c r="J65" i="15"/>
  <c r="J153" i="15"/>
  <c r="J151" i="15"/>
  <c r="J154" i="15"/>
  <c r="J152" i="15"/>
  <c r="J123" i="15"/>
  <c r="J121" i="15"/>
  <c r="J92" i="15"/>
  <c r="J90" i="15"/>
  <c r="J122" i="15"/>
  <c r="J120" i="15"/>
  <c r="I109" i="13" s="1"/>
  <c r="J116" i="15"/>
  <c r="J91" i="15"/>
  <c r="J89" i="15"/>
  <c r="J85" i="15"/>
  <c r="J60" i="15"/>
  <c r="J58" i="15"/>
  <c r="J83" i="15"/>
  <c r="J61" i="15"/>
  <c r="J59" i="15"/>
  <c r="J55" i="15"/>
  <c r="J53" i="15"/>
  <c r="J48" i="15"/>
  <c r="J46" i="15"/>
  <c r="J43" i="15"/>
  <c r="J41" i="15"/>
  <c r="J54" i="15"/>
  <c r="J52" i="15"/>
  <c r="J49" i="15"/>
  <c r="J47" i="15"/>
  <c r="J42" i="15"/>
  <c r="J40" i="15"/>
  <c r="J148" i="15"/>
  <c r="J145" i="15"/>
  <c r="J115" i="15"/>
  <c r="J114" i="15"/>
  <c r="I108" i="13" s="1"/>
  <c r="J111" i="15"/>
  <c r="J110" i="15"/>
  <c r="J141" i="15"/>
  <c r="J140" i="15"/>
  <c r="J147" i="15"/>
  <c r="J79" i="15"/>
  <c r="J80" i="15"/>
  <c r="J146" i="15"/>
  <c r="J109" i="15"/>
  <c r="J77" i="15"/>
  <c r="J117" i="15"/>
  <c r="J86" i="15"/>
  <c r="J142" i="15"/>
  <c r="J78" i="15"/>
  <c r="J84" i="15"/>
  <c r="J108" i="15"/>
  <c r="I107" i="13" s="1"/>
  <c r="J139" i="15"/>
  <c r="J133" i="15"/>
  <c r="J102" i="15"/>
  <c r="I106" i="13" s="1"/>
  <c r="J136" i="15"/>
  <c r="J74" i="15"/>
  <c r="J71" i="15"/>
  <c r="J134" i="15"/>
  <c r="J105" i="15"/>
  <c r="J135" i="15"/>
  <c r="J104" i="15"/>
  <c r="J103" i="15"/>
  <c r="J72" i="15"/>
  <c r="J73" i="15"/>
  <c r="J37" i="15"/>
  <c r="J34" i="15"/>
  <c r="J36" i="15"/>
  <c r="J35" i="15"/>
  <c r="J66" i="15"/>
  <c r="J130" i="15"/>
  <c r="J68" i="15"/>
  <c r="J98" i="15"/>
  <c r="J97" i="15"/>
  <c r="J128" i="15"/>
  <c r="J67" i="15"/>
  <c r="J17" i="15"/>
  <c r="I15" i="15"/>
  <c r="I16" i="15"/>
  <c r="K14" i="15"/>
  <c r="L13" i="15"/>
  <c r="G33" i="5"/>
  <c r="G54" i="13"/>
  <c r="G66" i="13"/>
  <c r="G21" i="13"/>
  <c r="G78" i="13"/>
  <c r="G32" i="13"/>
  <c r="G13" i="13"/>
  <c r="E78" i="13"/>
  <c r="E32" i="13"/>
  <c r="E13" i="13"/>
  <c r="E66" i="13"/>
  <c r="E21" i="13"/>
  <c r="E54" i="13"/>
  <c r="F21" i="13"/>
  <c r="F78" i="13"/>
  <c r="F32" i="13"/>
  <c r="F13" i="13"/>
  <c r="F54" i="13"/>
  <c r="F66" i="13"/>
  <c r="H34" i="5"/>
  <c r="G32" i="5"/>
  <c r="G31" i="4" l="1"/>
  <c r="K98" i="15"/>
  <c r="K68" i="15"/>
  <c r="K129" i="15"/>
  <c r="K128" i="15"/>
  <c r="K65" i="15"/>
  <c r="K154" i="15"/>
  <c r="K152" i="15"/>
  <c r="K123" i="15"/>
  <c r="K153" i="15"/>
  <c r="K151" i="15"/>
  <c r="K122" i="15"/>
  <c r="K120" i="15"/>
  <c r="J109" i="13" s="1"/>
  <c r="K91" i="15"/>
  <c r="K89" i="15"/>
  <c r="K121" i="15"/>
  <c r="K92" i="15"/>
  <c r="K90" i="15"/>
  <c r="K60" i="15"/>
  <c r="K58" i="15"/>
  <c r="K61" i="15"/>
  <c r="K59" i="15"/>
  <c r="K54" i="15"/>
  <c r="K52" i="15"/>
  <c r="K49" i="15"/>
  <c r="K47" i="15"/>
  <c r="K42" i="15"/>
  <c r="K40" i="15"/>
  <c r="K55" i="15"/>
  <c r="K53" i="15"/>
  <c r="K48" i="15"/>
  <c r="K46" i="15"/>
  <c r="K43" i="15"/>
  <c r="K41" i="15"/>
  <c r="K146" i="15"/>
  <c r="K147" i="15"/>
  <c r="K115" i="15"/>
  <c r="K116" i="15"/>
  <c r="K85" i="15"/>
  <c r="K145" i="15"/>
  <c r="K114" i="15"/>
  <c r="J108" i="13" s="1"/>
  <c r="K83" i="15"/>
  <c r="K148" i="15"/>
  <c r="K84" i="15"/>
  <c r="K117" i="15"/>
  <c r="K86" i="15"/>
  <c r="K141" i="15"/>
  <c r="K77" i="15"/>
  <c r="K110" i="15"/>
  <c r="K139" i="15"/>
  <c r="K111" i="15"/>
  <c r="K108" i="15"/>
  <c r="J107" i="13" s="1"/>
  <c r="K142" i="15"/>
  <c r="K79" i="15"/>
  <c r="K136" i="15"/>
  <c r="K104" i="15"/>
  <c r="K103" i="15"/>
  <c r="K74" i="15"/>
  <c r="K80" i="15"/>
  <c r="K134" i="15"/>
  <c r="K102" i="15"/>
  <c r="J106" i="13" s="1"/>
  <c r="K140" i="15"/>
  <c r="K78" i="15"/>
  <c r="K135" i="15"/>
  <c r="K72" i="15"/>
  <c r="K109" i="15"/>
  <c r="K133" i="15"/>
  <c r="K105" i="15"/>
  <c r="K71" i="15"/>
  <c r="K73" i="15"/>
  <c r="K37" i="15"/>
  <c r="K36" i="15"/>
  <c r="K35" i="15"/>
  <c r="K34" i="15"/>
  <c r="K99" i="15"/>
  <c r="K67" i="15"/>
  <c r="K130" i="15"/>
  <c r="K97" i="15"/>
  <c r="K96" i="15"/>
  <c r="J105" i="13" s="1"/>
  <c r="K66" i="15"/>
  <c r="K127" i="15"/>
  <c r="D143" i="13"/>
  <c r="D154" i="13"/>
  <c r="D122" i="13"/>
  <c r="D129" i="13"/>
  <c r="D168" i="13"/>
  <c r="D161" i="13"/>
  <c r="D136" i="13"/>
  <c r="D97" i="13"/>
  <c r="D175" i="13"/>
  <c r="D104" i="13"/>
  <c r="D90" i="13"/>
  <c r="D111" i="13"/>
  <c r="L14" i="15"/>
  <c r="M13" i="15"/>
  <c r="J15" i="15"/>
  <c r="J16" i="15"/>
  <c r="K17" i="15"/>
  <c r="H33" i="5"/>
  <c r="F177" i="4"/>
  <c r="F154" i="4"/>
  <c r="F170" i="4"/>
  <c r="F163" i="4"/>
  <c r="F140" i="4"/>
  <c r="F147" i="4"/>
  <c r="F110" i="4"/>
  <c r="F73" i="4"/>
  <c r="F50" i="4"/>
  <c r="F94" i="4"/>
  <c r="F57" i="4"/>
  <c r="F184" i="4"/>
  <c r="F133" i="4"/>
  <c r="F103" i="4"/>
  <c r="F80" i="4"/>
  <c r="F43" i="4"/>
  <c r="F117" i="4"/>
  <c r="F124" i="4"/>
  <c r="F87" i="4"/>
  <c r="F64" i="4"/>
  <c r="F32" i="4"/>
  <c r="I34" i="5"/>
  <c r="G7" i="5"/>
  <c r="G21" i="5"/>
  <c r="G14" i="5"/>
  <c r="H32" i="5"/>
  <c r="G114" i="5"/>
  <c r="G100" i="5"/>
  <c r="G86" i="5"/>
  <c r="G70" i="5"/>
  <c r="G107" i="5"/>
  <c r="G77" i="5"/>
  <c r="G93" i="5"/>
  <c r="G46" i="5"/>
  <c r="G62" i="5" s="1"/>
  <c r="G38" i="5"/>
  <c r="E161" i="13" l="1"/>
  <c r="H31" i="4"/>
  <c r="E113" i="13"/>
  <c r="M57" i="6"/>
  <c r="V57" i="6"/>
  <c r="AE57" i="6"/>
  <c r="L129" i="15"/>
  <c r="L66" i="15"/>
  <c r="L154" i="15"/>
  <c r="L152" i="15"/>
  <c r="L123" i="15"/>
  <c r="L153" i="15"/>
  <c r="L151" i="15"/>
  <c r="L122" i="15"/>
  <c r="L120" i="15"/>
  <c r="K109" i="13" s="1"/>
  <c r="L91" i="15"/>
  <c r="L89" i="15"/>
  <c r="L121" i="15"/>
  <c r="L92" i="15"/>
  <c r="L90" i="15"/>
  <c r="L61" i="15"/>
  <c r="L59" i="15"/>
  <c r="L60" i="15"/>
  <c r="L58" i="15"/>
  <c r="L54" i="15"/>
  <c r="L52" i="15"/>
  <c r="L49" i="15"/>
  <c r="L47" i="15"/>
  <c r="L42" i="15"/>
  <c r="L40" i="15"/>
  <c r="L55" i="15"/>
  <c r="L53" i="15"/>
  <c r="L48" i="15"/>
  <c r="L46" i="15"/>
  <c r="L43" i="15"/>
  <c r="L41" i="15"/>
  <c r="L147" i="15"/>
  <c r="L84" i="15"/>
  <c r="L145" i="15"/>
  <c r="L146" i="15"/>
  <c r="L115" i="15"/>
  <c r="L114" i="15"/>
  <c r="K108" i="13" s="1"/>
  <c r="L148" i="15"/>
  <c r="L83" i="15"/>
  <c r="L80" i="15"/>
  <c r="L142" i="15"/>
  <c r="L77" i="15"/>
  <c r="L116" i="15"/>
  <c r="L86" i="15"/>
  <c r="L117" i="15"/>
  <c r="L78" i="15"/>
  <c r="L110" i="15"/>
  <c r="L111" i="15"/>
  <c r="L140" i="15"/>
  <c r="L108" i="15"/>
  <c r="K107" i="13" s="1"/>
  <c r="L109" i="15"/>
  <c r="L141" i="15"/>
  <c r="L79" i="15"/>
  <c r="L85" i="15"/>
  <c r="L134" i="15"/>
  <c r="L103" i="15"/>
  <c r="L71" i="15"/>
  <c r="L135" i="15"/>
  <c r="L72" i="15"/>
  <c r="L133" i="15"/>
  <c r="L104" i="15"/>
  <c r="L139" i="15"/>
  <c r="L73" i="15"/>
  <c r="L136" i="15"/>
  <c r="L105" i="15"/>
  <c r="L102" i="15"/>
  <c r="K106" i="13" s="1"/>
  <c r="L74" i="15"/>
  <c r="L34" i="15"/>
  <c r="L35" i="15"/>
  <c r="L36" i="15"/>
  <c r="L37" i="15"/>
  <c r="L65" i="15"/>
  <c r="L68" i="15"/>
  <c r="L128" i="15"/>
  <c r="L67" i="15"/>
  <c r="L97" i="15"/>
  <c r="L96" i="15"/>
  <c r="K105" i="13" s="1"/>
  <c r="L127" i="15"/>
  <c r="L130" i="15"/>
  <c r="L99" i="15"/>
  <c r="L98" i="15"/>
  <c r="E136" i="13"/>
  <c r="E19" i="15"/>
  <c r="E32" i="15" s="1"/>
  <c r="G54" i="5"/>
  <c r="E175" i="13"/>
  <c r="E90" i="13"/>
  <c r="E154" i="13"/>
  <c r="E111" i="13"/>
  <c r="E168" i="13"/>
  <c r="E104" i="13"/>
  <c r="E143" i="13"/>
  <c r="E97" i="13"/>
  <c r="E122" i="13"/>
  <c r="E129" i="13"/>
  <c r="N13" i="15"/>
  <c r="M14" i="15"/>
  <c r="K16" i="15"/>
  <c r="L17" i="15"/>
  <c r="K15" i="15"/>
  <c r="I33" i="5"/>
  <c r="J34" i="5"/>
  <c r="I32" i="5"/>
  <c r="H93" i="5"/>
  <c r="G177" i="4"/>
  <c r="G163" i="4"/>
  <c r="G140" i="4"/>
  <c r="G117" i="4"/>
  <c r="G103" i="4"/>
  <c r="G87" i="4"/>
  <c r="G73" i="4"/>
  <c r="G57" i="4"/>
  <c r="G43" i="4"/>
  <c r="G154" i="4"/>
  <c r="G94" i="4"/>
  <c r="G80" i="4"/>
  <c r="G124" i="4"/>
  <c r="G64" i="4"/>
  <c r="G184" i="4"/>
  <c r="G133" i="4"/>
  <c r="G110" i="4"/>
  <c r="G170" i="4"/>
  <c r="G50" i="4"/>
  <c r="G32" i="4"/>
  <c r="G147" i="4"/>
  <c r="H70" i="5"/>
  <c r="H77" i="5"/>
  <c r="H7" i="5"/>
  <c r="H21" i="5"/>
  <c r="H14" i="5"/>
  <c r="H100" i="5"/>
  <c r="H107" i="5"/>
  <c r="H46" i="5"/>
  <c r="H62" i="5" s="1"/>
  <c r="H86" i="5"/>
  <c r="H38" i="5"/>
  <c r="H114" i="5"/>
  <c r="F161" i="13" l="1"/>
  <c r="I31" i="4"/>
  <c r="E116" i="13"/>
  <c r="G93" i="13"/>
  <c r="I91" i="13"/>
  <c r="F116" i="13"/>
  <c r="F92" i="13"/>
  <c r="E94" i="13"/>
  <c r="I101" i="13"/>
  <c r="F115" i="13"/>
  <c r="E91" i="13"/>
  <c r="J93" i="13"/>
  <c r="G116" i="13"/>
  <c r="I92" i="13"/>
  <c r="J116" i="13"/>
  <c r="E93" i="13"/>
  <c r="F94" i="13"/>
  <c r="F95" i="13"/>
  <c r="H95" i="13"/>
  <c r="I116" i="13"/>
  <c r="H91" i="13"/>
  <c r="F113" i="13"/>
  <c r="J94" i="13"/>
  <c r="F101" i="13"/>
  <c r="I115" i="13"/>
  <c r="H115" i="13"/>
  <c r="J100" i="13"/>
  <c r="E95" i="13"/>
  <c r="I102" i="13"/>
  <c r="G94" i="13"/>
  <c r="G95" i="13"/>
  <c r="J95" i="13"/>
  <c r="E102" i="13"/>
  <c r="H114" i="13"/>
  <c r="E115" i="13"/>
  <c r="F93" i="13"/>
  <c r="H101" i="13"/>
  <c r="J99" i="13"/>
  <c r="J101" i="13"/>
  <c r="H99" i="13"/>
  <c r="G115" i="13"/>
  <c r="G92" i="13"/>
  <c r="I112" i="13"/>
  <c r="I99" i="13"/>
  <c r="H102" i="13"/>
  <c r="E114" i="13"/>
  <c r="J92" i="13"/>
  <c r="J113" i="13"/>
  <c r="H112" i="13"/>
  <c r="H100" i="13"/>
  <c r="I114" i="13"/>
  <c r="F114" i="13"/>
  <c r="J98" i="13"/>
  <c r="F99" i="13"/>
  <c r="E100" i="13"/>
  <c r="G112" i="13"/>
  <c r="J91" i="13"/>
  <c r="H116" i="13"/>
  <c r="G99" i="13"/>
  <c r="I94" i="13"/>
  <c r="D123" i="13"/>
  <c r="E123" i="13" s="1"/>
  <c r="H98" i="13"/>
  <c r="H92" i="13"/>
  <c r="D57" i="6"/>
  <c r="E98" i="13"/>
  <c r="J112" i="13"/>
  <c r="J102" i="13"/>
  <c r="G102" i="13"/>
  <c r="F112" i="13"/>
  <c r="K99" i="13"/>
  <c r="F100" i="13"/>
  <c r="J114" i="13"/>
  <c r="K94" i="13"/>
  <c r="F98" i="13"/>
  <c r="G113" i="13"/>
  <c r="E112" i="13"/>
  <c r="E99" i="13"/>
  <c r="G100" i="13"/>
  <c r="I95" i="13"/>
  <c r="H94" i="13"/>
  <c r="F91" i="13"/>
  <c r="I93" i="13"/>
  <c r="I98" i="13"/>
  <c r="H113" i="13"/>
  <c r="G91" i="13"/>
  <c r="E92" i="13"/>
  <c r="G98" i="13"/>
  <c r="I100" i="13"/>
  <c r="H93" i="13"/>
  <c r="I113" i="13"/>
  <c r="F102" i="13"/>
  <c r="E101" i="13"/>
  <c r="G114" i="13"/>
  <c r="G101" i="13"/>
  <c r="J115" i="13"/>
  <c r="K112" i="13"/>
  <c r="K100" i="13"/>
  <c r="K116" i="13"/>
  <c r="K95" i="13"/>
  <c r="K115" i="13"/>
  <c r="K114" i="13"/>
  <c r="K113" i="13"/>
  <c r="K98" i="13"/>
  <c r="K102" i="13"/>
  <c r="K101" i="13"/>
  <c r="K93" i="13"/>
  <c r="K92" i="13"/>
  <c r="K91" i="13"/>
  <c r="E94" i="15"/>
  <c r="M98" i="15"/>
  <c r="M99" i="15"/>
  <c r="M66" i="15"/>
  <c r="M128" i="15"/>
  <c r="M127" i="15"/>
  <c r="M153" i="15"/>
  <c r="M151" i="15"/>
  <c r="M154" i="15"/>
  <c r="M152" i="15"/>
  <c r="M123" i="15"/>
  <c r="M122" i="15"/>
  <c r="M121" i="15"/>
  <c r="M92" i="15"/>
  <c r="M90" i="15"/>
  <c r="M120" i="15"/>
  <c r="L109" i="13" s="1"/>
  <c r="M91" i="15"/>
  <c r="M89" i="15"/>
  <c r="M61" i="15"/>
  <c r="M59" i="15"/>
  <c r="M83" i="15"/>
  <c r="M60" i="15"/>
  <c r="M58" i="15"/>
  <c r="M85" i="15"/>
  <c r="M55" i="15"/>
  <c r="M53" i="15"/>
  <c r="M48" i="15"/>
  <c r="M46" i="15"/>
  <c r="M43" i="15"/>
  <c r="M41" i="15"/>
  <c r="M54" i="15"/>
  <c r="M52" i="15"/>
  <c r="M49" i="15"/>
  <c r="M47" i="15"/>
  <c r="M42" i="15"/>
  <c r="M40" i="15"/>
  <c r="M146" i="15"/>
  <c r="M116" i="15"/>
  <c r="M117" i="15"/>
  <c r="M148" i="15"/>
  <c r="M147" i="15"/>
  <c r="M114" i="15"/>
  <c r="L108" i="13" s="1"/>
  <c r="M115" i="15"/>
  <c r="M86" i="15"/>
  <c r="M145" i="15"/>
  <c r="M142" i="15"/>
  <c r="M77" i="15"/>
  <c r="M80" i="15"/>
  <c r="M84" i="15"/>
  <c r="M108" i="15"/>
  <c r="L107" i="13" s="1"/>
  <c r="M109" i="15"/>
  <c r="M141" i="15"/>
  <c r="M79" i="15"/>
  <c r="M139" i="15"/>
  <c r="M135" i="15"/>
  <c r="M110" i="15"/>
  <c r="M133" i="15"/>
  <c r="M73" i="15"/>
  <c r="M134" i="15"/>
  <c r="M78" i="15"/>
  <c r="M111" i="15"/>
  <c r="M140" i="15"/>
  <c r="M136" i="15"/>
  <c r="M71" i="15"/>
  <c r="M104" i="15"/>
  <c r="M72" i="15"/>
  <c r="M105" i="15"/>
  <c r="M102" i="15"/>
  <c r="L106" i="13" s="1"/>
  <c r="M103" i="15"/>
  <c r="M74" i="15"/>
  <c r="M36" i="15"/>
  <c r="M37" i="15"/>
  <c r="M35" i="15"/>
  <c r="M34" i="15"/>
  <c r="M68" i="15"/>
  <c r="M130" i="15"/>
  <c r="M129" i="15"/>
  <c r="M65" i="15"/>
  <c r="M96" i="15"/>
  <c r="L105" i="13" s="1"/>
  <c r="M97" i="15"/>
  <c r="M67" i="15"/>
  <c r="J32" i="5"/>
  <c r="E125" i="15"/>
  <c r="E63" i="15"/>
  <c r="F19" i="15"/>
  <c r="F125" i="15" s="1"/>
  <c r="H54" i="5"/>
  <c r="F90" i="13"/>
  <c r="F175" i="13"/>
  <c r="F168" i="13"/>
  <c r="F129" i="13"/>
  <c r="F104" i="13"/>
  <c r="F136" i="13"/>
  <c r="L16" i="15"/>
  <c r="M17" i="15"/>
  <c r="L15" i="15"/>
  <c r="N14" i="15"/>
  <c r="O13" i="15"/>
  <c r="F143" i="13"/>
  <c r="F154" i="13"/>
  <c r="F97" i="13"/>
  <c r="F111" i="13"/>
  <c r="F122" i="13"/>
  <c r="J33" i="5"/>
  <c r="H184" i="4"/>
  <c r="H163" i="4"/>
  <c r="H154" i="4"/>
  <c r="H147" i="4"/>
  <c r="H140" i="4"/>
  <c r="H133" i="4"/>
  <c r="H117" i="4"/>
  <c r="H80" i="4"/>
  <c r="H57" i="4"/>
  <c r="H103" i="4"/>
  <c r="H64" i="4"/>
  <c r="H43" i="4"/>
  <c r="H32" i="4"/>
  <c r="H177" i="4"/>
  <c r="H170" i="4"/>
  <c r="H110" i="4"/>
  <c r="H87" i="4"/>
  <c r="H50" i="4"/>
  <c r="H124" i="4"/>
  <c r="H73" i="4"/>
  <c r="H94" i="4"/>
  <c r="I70" i="5"/>
  <c r="I107" i="5"/>
  <c r="I46" i="5"/>
  <c r="I62" i="5" s="1"/>
  <c r="I7" i="5"/>
  <c r="I86" i="5"/>
  <c r="I93" i="5"/>
  <c r="I114" i="5"/>
  <c r="I21" i="5"/>
  <c r="I100" i="5"/>
  <c r="K34" i="5"/>
  <c r="I38" i="5"/>
  <c r="I77" i="5"/>
  <c r="I14" i="5"/>
  <c r="N68" i="15" l="1"/>
  <c r="N130" i="15"/>
  <c r="N66" i="15"/>
  <c r="N97" i="15"/>
  <c r="N65" i="15"/>
  <c r="N67" i="15"/>
  <c r="N127" i="15"/>
  <c r="N98" i="15"/>
  <c r="N99" i="15"/>
  <c r="N129" i="15"/>
  <c r="F123" i="13"/>
  <c r="G123" i="13" s="1"/>
  <c r="H123" i="13" s="1"/>
  <c r="I123" i="13" s="1"/>
  <c r="J123" i="13" s="1"/>
  <c r="K123" i="13" s="1"/>
  <c r="L112" i="13"/>
  <c r="L116" i="13"/>
  <c r="L115" i="13"/>
  <c r="L114" i="13"/>
  <c r="L100" i="13"/>
  <c r="L113" i="13"/>
  <c r="L99" i="13"/>
  <c r="L98" i="13"/>
  <c r="L102" i="13"/>
  <c r="L95" i="13"/>
  <c r="L101" i="13"/>
  <c r="L94" i="13"/>
  <c r="L93" i="13"/>
  <c r="L92" i="13"/>
  <c r="L91" i="13"/>
  <c r="J107" i="5"/>
  <c r="I50" i="4"/>
  <c r="J38" i="5"/>
  <c r="J54" i="5" s="1"/>
  <c r="I117" i="4"/>
  <c r="I110" i="4"/>
  <c r="J114" i="5"/>
  <c r="I73" i="4"/>
  <c r="I147" i="4"/>
  <c r="F94" i="15"/>
  <c r="I43" i="4"/>
  <c r="I184" i="4"/>
  <c r="J70" i="5"/>
  <c r="J86" i="5"/>
  <c r="J7" i="5"/>
  <c r="I57" i="4"/>
  <c r="I163" i="4"/>
  <c r="I87" i="4"/>
  <c r="I80" i="4"/>
  <c r="I154" i="4"/>
  <c r="J77" i="5"/>
  <c r="J46" i="5"/>
  <c r="J62" i="5" s="1"/>
  <c r="J21" i="5"/>
  <c r="I103" i="4"/>
  <c r="I64" i="4"/>
  <c r="I124" i="4"/>
  <c r="J93" i="5"/>
  <c r="J100" i="5"/>
  <c r="J14" i="5"/>
  <c r="I140" i="4"/>
  <c r="I177" i="4"/>
  <c r="I32" i="4"/>
  <c r="I94" i="4"/>
  <c r="I133" i="4"/>
  <c r="I170" i="4"/>
  <c r="N153" i="15"/>
  <c r="N151" i="15"/>
  <c r="N154" i="15"/>
  <c r="N152" i="15"/>
  <c r="N123" i="15"/>
  <c r="N122" i="15"/>
  <c r="N121" i="15"/>
  <c r="N114" i="15"/>
  <c r="M108" i="13" s="1"/>
  <c r="N92" i="15"/>
  <c r="N90" i="15"/>
  <c r="N120" i="15"/>
  <c r="M109" i="13" s="1"/>
  <c r="N91" i="15"/>
  <c r="N89" i="15"/>
  <c r="N83" i="15"/>
  <c r="N60" i="15"/>
  <c r="N58" i="15"/>
  <c r="N85" i="15"/>
  <c r="N61" i="15"/>
  <c r="N59" i="15"/>
  <c r="N55" i="15"/>
  <c r="N53" i="15"/>
  <c r="N48" i="15"/>
  <c r="N46" i="15"/>
  <c r="N43" i="15"/>
  <c r="N41" i="15"/>
  <c r="N54" i="15"/>
  <c r="N52" i="15"/>
  <c r="N49" i="15"/>
  <c r="N47" i="15"/>
  <c r="N42" i="15"/>
  <c r="N40" i="15"/>
  <c r="N116" i="15"/>
  <c r="N146" i="15"/>
  <c r="N117" i="15"/>
  <c r="N86" i="15"/>
  <c r="N111" i="15"/>
  <c r="N108" i="15"/>
  <c r="M107" i="13" s="1"/>
  <c r="N139" i="15"/>
  <c r="N79" i="15"/>
  <c r="N147" i="15"/>
  <c r="N84" i="15"/>
  <c r="N142" i="15"/>
  <c r="N77" i="15"/>
  <c r="N148" i="15"/>
  <c r="N145" i="15"/>
  <c r="N109" i="15"/>
  <c r="N80" i="15"/>
  <c r="N110" i="15"/>
  <c r="N141" i="15"/>
  <c r="N115" i="15"/>
  <c r="N140" i="15"/>
  <c r="N78" i="15"/>
  <c r="N136" i="15"/>
  <c r="N133" i="15"/>
  <c r="N72" i="15"/>
  <c r="N73" i="15"/>
  <c r="N134" i="15"/>
  <c r="N105" i="15"/>
  <c r="N104" i="15"/>
  <c r="N103" i="15"/>
  <c r="N74" i="15"/>
  <c r="N71" i="15"/>
  <c r="N135" i="15"/>
  <c r="N102" i="15"/>
  <c r="M106" i="13" s="1"/>
  <c r="N35" i="15"/>
  <c r="N36" i="15"/>
  <c r="N37" i="15"/>
  <c r="N34" i="15"/>
  <c r="N96" i="15"/>
  <c r="M105" i="13" s="1"/>
  <c r="N128" i="15"/>
  <c r="F63" i="15"/>
  <c r="L34" i="5"/>
  <c r="J31" i="4"/>
  <c r="F32" i="15"/>
  <c r="G19" i="15"/>
  <c r="G63" i="15" s="1"/>
  <c r="I54" i="5"/>
  <c r="G136" i="13"/>
  <c r="G154" i="13"/>
  <c r="G111" i="13"/>
  <c r="G175" i="13"/>
  <c r="N17" i="15"/>
  <c r="M15" i="15"/>
  <c r="M16" i="15"/>
  <c r="O14" i="15"/>
  <c r="P13" i="15"/>
  <c r="G90" i="13"/>
  <c r="G143" i="13"/>
  <c r="G122" i="13"/>
  <c r="G104" i="13"/>
  <c r="G129" i="13"/>
  <c r="G168" i="13"/>
  <c r="K33" i="5"/>
  <c r="G97" i="13"/>
  <c r="G161" i="13"/>
  <c r="K32" i="5"/>
  <c r="K21" i="5" s="1"/>
  <c r="K31" i="4" l="1"/>
  <c r="M98" i="13"/>
  <c r="M112" i="13"/>
  <c r="H19" i="15"/>
  <c r="H32" i="15" s="1"/>
  <c r="O99" i="15"/>
  <c r="O127" i="15"/>
  <c r="O98" i="15"/>
  <c r="M113" i="13"/>
  <c r="L123" i="13"/>
  <c r="M116" i="13"/>
  <c r="M115" i="13"/>
  <c r="M114" i="13"/>
  <c r="M93" i="13"/>
  <c r="M99" i="13"/>
  <c r="M92" i="13"/>
  <c r="M102" i="13"/>
  <c r="M95" i="13"/>
  <c r="M101" i="13"/>
  <c r="M94" i="13"/>
  <c r="M100" i="13"/>
  <c r="M91" i="13"/>
  <c r="M34" i="5"/>
  <c r="L33" i="5"/>
  <c r="L32" i="5"/>
  <c r="O66" i="15"/>
  <c r="O128" i="15"/>
  <c r="O97" i="15"/>
  <c r="O68" i="15"/>
  <c r="O67" i="15"/>
  <c r="O154" i="15"/>
  <c r="O152" i="15"/>
  <c r="O123" i="15"/>
  <c r="O153" i="15"/>
  <c r="O151" i="15"/>
  <c r="O122" i="15"/>
  <c r="O120" i="15"/>
  <c r="N109" i="13" s="1"/>
  <c r="O91" i="15"/>
  <c r="O89" i="15"/>
  <c r="O121" i="15"/>
  <c r="O92" i="15"/>
  <c r="O90" i="15"/>
  <c r="O60" i="15"/>
  <c r="O58" i="15"/>
  <c r="O86" i="15"/>
  <c r="O61" i="15"/>
  <c r="O59" i="15"/>
  <c r="O54" i="15"/>
  <c r="O52" i="15"/>
  <c r="O49" i="15"/>
  <c r="O47" i="15"/>
  <c r="O42" i="15"/>
  <c r="O40" i="15"/>
  <c r="O55" i="15"/>
  <c r="O53" i="15"/>
  <c r="O48" i="15"/>
  <c r="O46" i="15"/>
  <c r="O43" i="15"/>
  <c r="O41" i="15"/>
  <c r="O147" i="15"/>
  <c r="O114" i="15"/>
  <c r="N108" i="13" s="1"/>
  <c r="O83" i="15"/>
  <c r="O145" i="15"/>
  <c r="O84" i="15"/>
  <c r="O148" i="15"/>
  <c r="O117" i="15"/>
  <c r="O146" i="15"/>
  <c r="O115" i="15"/>
  <c r="O116" i="15"/>
  <c r="O85" i="15"/>
  <c r="O110" i="15"/>
  <c r="O141" i="15"/>
  <c r="O78" i="15"/>
  <c r="O111" i="15"/>
  <c r="O108" i="15"/>
  <c r="N107" i="13" s="1"/>
  <c r="O139" i="15"/>
  <c r="O77" i="15"/>
  <c r="O109" i="15"/>
  <c r="O140" i="15"/>
  <c r="O80" i="15"/>
  <c r="O134" i="15"/>
  <c r="O102" i="15"/>
  <c r="N106" i="13" s="1"/>
  <c r="O142" i="15"/>
  <c r="O79" i="15"/>
  <c r="O135" i="15"/>
  <c r="O74" i="15"/>
  <c r="O133" i="15"/>
  <c r="O105" i="15"/>
  <c r="O136" i="15"/>
  <c r="O104" i="15"/>
  <c r="O103" i="15"/>
  <c r="O72" i="15"/>
  <c r="O73" i="15"/>
  <c r="O71" i="15"/>
  <c r="O37" i="15"/>
  <c r="O35" i="15"/>
  <c r="O36" i="15"/>
  <c r="O34" i="15"/>
  <c r="O129" i="15"/>
  <c r="O65" i="15"/>
  <c r="O130" i="15"/>
  <c r="O96" i="15"/>
  <c r="N105" i="13" s="1"/>
  <c r="G125" i="15"/>
  <c r="G32" i="15"/>
  <c r="G94" i="15"/>
  <c r="K77" i="5"/>
  <c r="H161" i="13"/>
  <c r="K100" i="5"/>
  <c r="H175" i="13"/>
  <c r="H111" i="13"/>
  <c r="P14" i="15"/>
  <c r="Q13" i="15"/>
  <c r="N15" i="15"/>
  <c r="N16" i="15"/>
  <c r="O17" i="15"/>
  <c r="K7" i="5"/>
  <c r="H122" i="13"/>
  <c r="H136" i="13"/>
  <c r="H104" i="13"/>
  <c r="H129" i="13"/>
  <c r="K46" i="5"/>
  <c r="K62" i="5" s="1"/>
  <c r="K114" i="5"/>
  <c r="K14" i="5"/>
  <c r="K93" i="5"/>
  <c r="K38" i="5"/>
  <c r="K70" i="5"/>
  <c r="H154" i="13"/>
  <c r="H168" i="13"/>
  <c r="H143" i="13"/>
  <c r="K107" i="5"/>
  <c r="K86" i="5"/>
  <c r="H90" i="13"/>
  <c r="H97" i="13"/>
  <c r="J170" i="4"/>
  <c r="J184" i="4"/>
  <c r="J177" i="4"/>
  <c r="J133" i="4"/>
  <c r="J124" i="4"/>
  <c r="J87" i="4"/>
  <c r="J64" i="4"/>
  <c r="J110" i="4"/>
  <c r="J73" i="4"/>
  <c r="J50" i="4"/>
  <c r="J163" i="4"/>
  <c r="J147" i="4"/>
  <c r="J140" i="4"/>
  <c r="J117" i="4"/>
  <c r="J94" i="4"/>
  <c r="J57" i="4"/>
  <c r="J32" i="4"/>
  <c r="J103" i="4"/>
  <c r="J80" i="4"/>
  <c r="J43" i="4"/>
  <c r="J154" i="4"/>
  <c r="I154" i="13" l="1"/>
  <c r="L31" i="4"/>
  <c r="I122" i="13"/>
  <c r="H63" i="15"/>
  <c r="H94" i="15"/>
  <c r="H125" i="15"/>
  <c r="L107" i="5"/>
  <c r="I136" i="13"/>
  <c r="I129" i="13"/>
  <c r="I175" i="13"/>
  <c r="I143" i="13"/>
  <c r="I97" i="13"/>
  <c r="I90" i="13"/>
  <c r="I161" i="13"/>
  <c r="K184" i="4"/>
  <c r="L93" i="5"/>
  <c r="K140" i="4"/>
  <c r="I104" i="13"/>
  <c r="K170" i="4"/>
  <c r="I111" i="13"/>
  <c r="L46" i="5"/>
  <c r="L62" i="5" s="1"/>
  <c r="L21" i="5"/>
  <c r="K32" i="4"/>
  <c r="K57" i="4"/>
  <c r="L77" i="5"/>
  <c r="L7" i="5"/>
  <c r="K133" i="4"/>
  <c r="K94" i="4"/>
  <c r="K73" i="4"/>
  <c r="K163" i="4"/>
  <c r="I168" i="13"/>
  <c r="K147" i="4"/>
  <c r="K110" i="4"/>
  <c r="K117" i="4"/>
  <c r="N113" i="13"/>
  <c r="M123" i="13"/>
  <c r="N116" i="13"/>
  <c r="N112" i="13"/>
  <c r="N95" i="13"/>
  <c r="N115" i="13"/>
  <c r="N114" i="13"/>
  <c r="N93" i="13"/>
  <c r="N99" i="13"/>
  <c r="N102" i="13"/>
  <c r="N101" i="13"/>
  <c r="N94" i="13"/>
  <c r="N100" i="13"/>
  <c r="N92" i="13"/>
  <c r="N98" i="13"/>
  <c r="N91" i="13"/>
  <c r="M32" i="5"/>
  <c r="N34" i="5"/>
  <c r="M33" i="5"/>
  <c r="L86" i="5"/>
  <c r="L100" i="5"/>
  <c r="L38" i="5"/>
  <c r="J19" i="15" s="1"/>
  <c r="K64" i="4"/>
  <c r="K80" i="4"/>
  <c r="K87" i="4"/>
  <c r="K154" i="4"/>
  <c r="K177" i="4"/>
  <c r="L114" i="5"/>
  <c r="L70" i="5"/>
  <c r="L14" i="5"/>
  <c r="K124" i="4"/>
  <c r="K50" i="4"/>
  <c r="K43" i="4"/>
  <c r="K103" i="4"/>
  <c r="P96" i="15"/>
  <c r="O105" i="13" s="1"/>
  <c r="P97" i="15"/>
  <c r="P98" i="15"/>
  <c r="P68" i="15"/>
  <c r="P128" i="15"/>
  <c r="P99" i="15"/>
  <c r="P66" i="15"/>
  <c r="P127" i="15"/>
  <c r="P130" i="15"/>
  <c r="P154" i="15"/>
  <c r="P152" i="15"/>
  <c r="P123" i="15"/>
  <c r="P153" i="15"/>
  <c r="P151" i="15"/>
  <c r="P122" i="15"/>
  <c r="P120" i="15"/>
  <c r="O109" i="13" s="1"/>
  <c r="P91" i="15"/>
  <c r="P89" i="15"/>
  <c r="P117" i="15"/>
  <c r="P121" i="15"/>
  <c r="P92" i="15"/>
  <c r="P90" i="15"/>
  <c r="P61" i="15"/>
  <c r="P59" i="15"/>
  <c r="P60" i="15"/>
  <c r="P58" i="15"/>
  <c r="P54" i="15"/>
  <c r="P52" i="15"/>
  <c r="P49" i="15"/>
  <c r="P47" i="15"/>
  <c r="P42" i="15"/>
  <c r="P40" i="15"/>
  <c r="P55" i="15"/>
  <c r="P53" i="15"/>
  <c r="P48" i="15"/>
  <c r="P46" i="15"/>
  <c r="P43" i="15"/>
  <c r="P41" i="15"/>
  <c r="P114" i="15"/>
  <c r="O108" i="13" s="1"/>
  <c r="P145" i="15"/>
  <c r="P86" i="15"/>
  <c r="P148" i="15"/>
  <c r="P83" i="15"/>
  <c r="P80" i="15"/>
  <c r="P116" i="15"/>
  <c r="P115" i="15"/>
  <c r="P147" i="15"/>
  <c r="P85" i="15"/>
  <c r="P78" i="15"/>
  <c r="P84" i="15"/>
  <c r="P111" i="15"/>
  <c r="P142" i="15"/>
  <c r="P110" i="15"/>
  <c r="P109" i="15"/>
  <c r="P141" i="15"/>
  <c r="P77" i="15"/>
  <c r="P108" i="15"/>
  <c r="O107" i="13" s="1"/>
  <c r="P139" i="15"/>
  <c r="P146" i="15"/>
  <c r="P73" i="15"/>
  <c r="P135" i="15"/>
  <c r="P74" i="15"/>
  <c r="P133" i="15"/>
  <c r="P104" i="15"/>
  <c r="P140" i="15"/>
  <c r="P79" i="15"/>
  <c r="P71" i="15"/>
  <c r="P136" i="15"/>
  <c r="P105" i="15"/>
  <c r="P102" i="15"/>
  <c r="O106" i="13" s="1"/>
  <c r="P72" i="15"/>
  <c r="P134" i="15"/>
  <c r="P103" i="15"/>
  <c r="P34" i="15"/>
  <c r="P36" i="15"/>
  <c r="P37" i="15"/>
  <c r="P35" i="15"/>
  <c r="P67" i="15"/>
  <c r="P65" i="15"/>
  <c r="P129" i="15"/>
  <c r="I19" i="15"/>
  <c r="I32" i="15" s="1"/>
  <c r="K54" i="5"/>
  <c r="R13" i="15"/>
  <c r="Q14" i="15"/>
  <c r="O16" i="15"/>
  <c r="P17" i="15"/>
  <c r="O15" i="15"/>
  <c r="J154" i="13" l="1"/>
  <c r="M31" i="4"/>
  <c r="Q128" i="15"/>
  <c r="N33" i="5"/>
  <c r="J90" i="13"/>
  <c r="J136" i="13"/>
  <c r="J97" i="13"/>
  <c r="O34" i="5"/>
  <c r="N32" i="5"/>
  <c r="J104" i="13"/>
  <c r="J161" i="13"/>
  <c r="M7" i="5"/>
  <c r="L124" i="4"/>
  <c r="L184" i="4"/>
  <c r="L57" i="4"/>
  <c r="M86" i="5"/>
  <c r="L87" i="4"/>
  <c r="L94" i="4"/>
  <c r="M77" i="5"/>
  <c r="L170" i="4"/>
  <c r="Q127" i="15"/>
  <c r="M114" i="5"/>
  <c r="M93" i="5"/>
  <c r="M14" i="5"/>
  <c r="L117" i="4"/>
  <c r="L43" i="4"/>
  <c r="L133" i="4"/>
  <c r="L80" i="4"/>
  <c r="L147" i="4"/>
  <c r="M70" i="5"/>
  <c r="M100" i="5"/>
  <c r="M107" i="5"/>
  <c r="L110" i="4"/>
  <c r="L163" i="4"/>
  <c r="L64" i="4"/>
  <c r="L154" i="4"/>
  <c r="L177" i="4"/>
  <c r="M38" i="5"/>
  <c r="M54" i="5" s="1"/>
  <c r="M46" i="5"/>
  <c r="M62" i="5" s="1"/>
  <c r="M21" i="5"/>
  <c r="L50" i="4"/>
  <c r="L103" i="4"/>
  <c r="L32" i="4"/>
  <c r="L73" i="4"/>
  <c r="L140" i="4"/>
  <c r="J129" i="13"/>
  <c r="N123" i="13"/>
  <c r="O115" i="13"/>
  <c r="O100" i="13"/>
  <c r="O112" i="13"/>
  <c r="O116" i="13"/>
  <c r="O95" i="13"/>
  <c r="O114" i="13"/>
  <c r="O113" i="13"/>
  <c r="O99" i="13"/>
  <c r="O98" i="13"/>
  <c r="O102" i="13"/>
  <c r="O101" i="13"/>
  <c r="O94" i="13"/>
  <c r="O93" i="13"/>
  <c r="O92" i="13"/>
  <c r="O91" i="13"/>
  <c r="J32" i="15"/>
  <c r="J63" i="15"/>
  <c r="J143" i="13"/>
  <c r="J111" i="13"/>
  <c r="J175" i="13"/>
  <c r="L54" i="5"/>
  <c r="J122" i="13"/>
  <c r="J168" i="13"/>
  <c r="J125" i="15"/>
  <c r="J94" i="15"/>
  <c r="Q65" i="15"/>
  <c r="Q153" i="15"/>
  <c r="Q151" i="15"/>
  <c r="Q122" i="15"/>
  <c r="Q154" i="15"/>
  <c r="Q152" i="15"/>
  <c r="Q123" i="15"/>
  <c r="Q121" i="15"/>
  <c r="Q92" i="15"/>
  <c r="Q90" i="15"/>
  <c r="Q120" i="15"/>
  <c r="P109" i="13" s="1"/>
  <c r="Q91" i="15"/>
  <c r="Q89" i="15"/>
  <c r="Q83" i="15"/>
  <c r="Q61" i="15"/>
  <c r="Q59" i="15"/>
  <c r="Q85" i="15"/>
  <c r="Q60" i="15"/>
  <c r="Q58" i="15"/>
  <c r="Q55" i="15"/>
  <c r="Q53" i="15"/>
  <c r="Q48" i="15"/>
  <c r="Q46" i="15"/>
  <c r="Q43" i="15"/>
  <c r="Q41" i="15"/>
  <c r="Q54" i="15"/>
  <c r="Q52" i="15"/>
  <c r="Q49" i="15"/>
  <c r="Q47" i="15"/>
  <c r="Q42" i="15"/>
  <c r="Q40" i="15"/>
  <c r="Q145" i="15"/>
  <c r="Q146" i="15"/>
  <c r="Q114" i="15"/>
  <c r="P108" i="13" s="1"/>
  <c r="Q115" i="15"/>
  <c r="Q148" i="15"/>
  <c r="Q147" i="15"/>
  <c r="Q116" i="15"/>
  <c r="Q117" i="15"/>
  <c r="Q84" i="15"/>
  <c r="Q86" i="15"/>
  <c r="Q78" i="15"/>
  <c r="Q110" i="15"/>
  <c r="Q109" i="15"/>
  <c r="Q140" i="15"/>
  <c r="Q80" i="15"/>
  <c r="Q139" i="15"/>
  <c r="Q136" i="15"/>
  <c r="Q133" i="15"/>
  <c r="Q71" i="15"/>
  <c r="Q108" i="15"/>
  <c r="P107" i="13" s="1"/>
  <c r="Q134" i="15"/>
  <c r="Q111" i="15"/>
  <c r="Q142" i="15"/>
  <c r="Q79" i="15"/>
  <c r="Q73" i="15"/>
  <c r="Q141" i="15"/>
  <c r="Q77" i="15"/>
  <c r="Q135" i="15"/>
  <c r="Q105" i="15"/>
  <c r="Q102" i="15"/>
  <c r="P106" i="13" s="1"/>
  <c r="Q103" i="15"/>
  <c r="Q72" i="15"/>
  <c r="Q104" i="15"/>
  <c r="Q74" i="15"/>
  <c r="Q34" i="15"/>
  <c r="Q36" i="15"/>
  <c r="Q37" i="15"/>
  <c r="Q35" i="15"/>
  <c r="Q66" i="15"/>
  <c r="Q130" i="15"/>
  <c r="Q68" i="15"/>
  <c r="Q67" i="15"/>
  <c r="Q98" i="15"/>
  <c r="Q97" i="15"/>
  <c r="Q96" i="15"/>
  <c r="P105" i="13" s="1"/>
  <c r="Q99" i="15"/>
  <c r="Q129" i="15"/>
  <c r="I63" i="15"/>
  <c r="I125" i="15"/>
  <c r="I94" i="15"/>
  <c r="P16" i="15"/>
  <c r="Q17" i="15"/>
  <c r="P15" i="15"/>
  <c r="R14" i="15"/>
  <c r="S13" i="15"/>
  <c r="K111" i="13" l="1"/>
  <c r="N31" i="4"/>
  <c r="K19" i="15"/>
  <c r="K94" i="15" s="1"/>
  <c r="N107" i="5"/>
  <c r="M32" i="4"/>
  <c r="M170" i="4"/>
  <c r="N21" i="5"/>
  <c r="M73" i="4"/>
  <c r="M94" i="4"/>
  <c r="N70" i="5"/>
  <c r="M87" i="4"/>
  <c r="M147" i="4"/>
  <c r="K161" i="13"/>
  <c r="K143" i="13"/>
  <c r="K104" i="13"/>
  <c r="K90" i="13"/>
  <c r="K175" i="13"/>
  <c r="K168" i="13"/>
  <c r="K136" i="13"/>
  <c r="K154" i="13"/>
  <c r="K122" i="13"/>
  <c r="K129" i="13"/>
  <c r="K97" i="13"/>
  <c r="M110" i="4"/>
  <c r="N38" i="5"/>
  <c r="L19" i="15" s="1"/>
  <c r="L63" i="15" s="1"/>
  <c r="N7" i="5"/>
  <c r="M57" i="4"/>
  <c r="M163" i="4"/>
  <c r="M184" i="4"/>
  <c r="N46" i="5"/>
  <c r="N62" i="5" s="1"/>
  <c r="N114" i="5"/>
  <c r="N14" i="5"/>
  <c r="M43" i="4"/>
  <c r="M117" i="4"/>
  <c r="M64" i="4"/>
  <c r="M124" i="4"/>
  <c r="N77" i="5"/>
  <c r="M140" i="4"/>
  <c r="M50" i="4"/>
  <c r="N93" i="5"/>
  <c r="N86" i="5"/>
  <c r="N100" i="5"/>
  <c r="M103" i="4"/>
  <c r="M177" i="4"/>
  <c r="M80" i="4"/>
  <c r="M133" i="4"/>
  <c r="M154" i="4"/>
  <c r="R128" i="15"/>
  <c r="R66" i="15"/>
  <c r="R130" i="15"/>
  <c r="R68" i="15"/>
  <c r="O32" i="5"/>
  <c r="N184" i="4" s="1"/>
  <c r="O33" i="5"/>
  <c r="P34" i="5"/>
  <c r="R67" i="15"/>
  <c r="R65" i="15"/>
  <c r="R96" i="15"/>
  <c r="Q105" i="13" s="1"/>
  <c r="R97" i="15"/>
  <c r="R129" i="15"/>
  <c r="R98" i="15"/>
  <c r="R99" i="15"/>
  <c r="O123" i="13"/>
  <c r="P116" i="13"/>
  <c r="P114" i="13"/>
  <c r="P115" i="13"/>
  <c r="P98" i="13"/>
  <c r="P102" i="13"/>
  <c r="P100" i="13"/>
  <c r="P93" i="13"/>
  <c r="P113" i="13"/>
  <c r="P112" i="13"/>
  <c r="P95" i="13"/>
  <c r="P101" i="13"/>
  <c r="P94" i="13"/>
  <c r="P99" i="13"/>
  <c r="P92" i="13"/>
  <c r="P91" i="13"/>
  <c r="R153" i="15"/>
  <c r="R151" i="15"/>
  <c r="R122" i="15"/>
  <c r="R154" i="15"/>
  <c r="R152" i="15"/>
  <c r="R123" i="15"/>
  <c r="R121" i="15"/>
  <c r="R92" i="15"/>
  <c r="R90" i="15"/>
  <c r="R120" i="15"/>
  <c r="Q109" i="13" s="1"/>
  <c r="R91" i="15"/>
  <c r="R89" i="15"/>
  <c r="R114" i="15"/>
  <c r="Q108" i="13" s="1"/>
  <c r="R85" i="15"/>
  <c r="R60" i="15"/>
  <c r="R58" i="15"/>
  <c r="R83" i="15"/>
  <c r="R61" i="15"/>
  <c r="R59" i="15"/>
  <c r="R55" i="15"/>
  <c r="R53" i="15"/>
  <c r="R48" i="15"/>
  <c r="R46" i="15"/>
  <c r="R43" i="15"/>
  <c r="R41" i="15"/>
  <c r="R54" i="15"/>
  <c r="R52" i="15"/>
  <c r="R49" i="15"/>
  <c r="R47" i="15"/>
  <c r="R42" i="15"/>
  <c r="R40" i="15"/>
  <c r="R109" i="15"/>
  <c r="R140" i="15"/>
  <c r="R148" i="15"/>
  <c r="R145" i="15"/>
  <c r="R115" i="15"/>
  <c r="R110" i="15"/>
  <c r="R141" i="15"/>
  <c r="R146" i="15"/>
  <c r="R84" i="15"/>
  <c r="R116" i="15"/>
  <c r="R111" i="15"/>
  <c r="R78" i="15"/>
  <c r="R142" i="15"/>
  <c r="R79" i="15"/>
  <c r="R108" i="15"/>
  <c r="Q107" i="13" s="1"/>
  <c r="R139" i="15"/>
  <c r="R77" i="15"/>
  <c r="R80" i="15"/>
  <c r="R147" i="15"/>
  <c r="R117" i="15"/>
  <c r="R86" i="15"/>
  <c r="R134" i="15"/>
  <c r="R105" i="15"/>
  <c r="R104" i="15"/>
  <c r="R103" i="15"/>
  <c r="R72" i="15"/>
  <c r="R73" i="15"/>
  <c r="R135" i="15"/>
  <c r="R102" i="15"/>
  <c r="Q106" i="13" s="1"/>
  <c r="R136" i="15"/>
  <c r="R133" i="15"/>
  <c r="R74" i="15"/>
  <c r="R71" i="15"/>
  <c r="R34" i="15"/>
  <c r="R36" i="15"/>
  <c r="R35" i="15"/>
  <c r="R37" i="15"/>
  <c r="R127" i="15"/>
  <c r="R17" i="15"/>
  <c r="Q15" i="15"/>
  <c r="Q16" i="15"/>
  <c r="S14" i="15"/>
  <c r="T13" i="15"/>
  <c r="K125" i="15" l="1"/>
  <c r="K63" i="15"/>
  <c r="L143" i="13"/>
  <c r="O31" i="4"/>
  <c r="K32" i="15"/>
  <c r="N163" i="4"/>
  <c r="L136" i="13"/>
  <c r="O93" i="5"/>
  <c r="O14" i="5"/>
  <c r="N94" i="4"/>
  <c r="N50" i="4"/>
  <c r="N80" i="4"/>
  <c r="O46" i="5"/>
  <c r="O62" i="5" s="1"/>
  <c r="O21" i="5"/>
  <c r="N117" i="4"/>
  <c r="N103" i="4"/>
  <c r="O70" i="5"/>
  <c r="O7" i="5"/>
  <c r="N124" i="4"/>
  <c r="N170" i="4"/>
  <c r="O86" i="5"/>
  <c r="N57" i="4"/>
  <c r="N154" i="4"/>
  <c r="N64" i="4"/>
  <c r="O38" i="5"/>
  <c r="O54" i="5" s="1"/>
  <c r="O100" i="5"/>
  <c r="N32" i="4"/>
  <c r="N177" i="4"/>
  <c r="N73" i="4"/>
  <c r="N43" i="4"/>
  <c r="O77" i="5"/>
  <c r="O107" i="5"/>
  <c r="O114" i="5"/>
  <c r="N133" i="4"/>
  <c r="N110" i="4"/>
  <c r="N87" i="4"/>
  <c r="N140" i="4"/>
  <c r="N147" i="4"/>
  <c r="L104" i="13"/>
  <c r="L129" i="13"/>
  <c r="L154" i="13"/>
  <c r="L175" i="13"/>
  <c r="Q34" i="5"/>
  <c r="L168" i="13"/>
  <c r="L111" i="13"/>
  <c r="P32" i="5"/>
  <c r="P33" i="5"/>
  <c r="L90" i="13"/>
  <c r="L97" i="13"/>
  <c r="N54" i="5"/>
  <c r="S68" i="15"/>
  <c r="L122" i="13"/>
  <c r="L161" i="13"/>
  <c r="Q112" i="13"/>
  <c r="S127" i="15"/>
  <c r="Q98" i="13"/>
  <c r="S97" i="15"/>
  <c r="P123" i="13"/>
  <c r="Q102" i="13"/>
  <c r="Q113" i="13"/>
  <c r="Q116" i="13"/>
  <c r="Q115" i="13"/>
  <c r="Q114" i="13"/>
  <c r="Q100" i="13"/>
  <c r="Q93" i="13"/>
  <c r="Q99" i="13"/>
  <c r="Q95" i="13"/>
  <c r="Q101" i="13"/>
  <c r="Q94" i="13"/>
  <c r="Q92" i="13"/>
  <c r="Q91" i="13"/>
  <c r="S65" i="15"/>
  <c r="S96" i="15"/>
  <c r="R105" i="13" s="1"/>
  <c r="S129" i="15"/>
  <c r="S128" i="15"/>
  <c r="S154" i="15"/>
  <c r="S152" i="15"/>
  <c r="S123" i="15"/>
  <c r="S153" i="15"/>
  <c r="S151" i="15"/>
  <c r="S122" i="15"/>
  <c r="S120" i="15"/>
  <c r="R109" i="13" s="1"/>
  <c r="S91" i="15"/>
  <c r="S89" i="15"/>
  <c r="S121" i="15"/>
  <c r="S92" i="15"/>
  <c r="S90" i="15"/>
  <c r="S84" i="15"/>
  <c r="S60" i="15"/>
  <c r="S58" i="15"/>
  <c r="S61" i="15"/>
  <c r="S59" i="15"/>
  <c r="S54" i="15"/>
  <c r="S52" i="15"/>
  <c r="S49" i="15"/>
  <c r="S47" i="15"/>
  <c r="S42" i="15"/>
  <c r="S40" i="15"/>
  <c r="S55" i="15"/>
  <c r="S53" i="15"/>
  <c r="S48" i="15"/>
  <c r="S46" i="15"/>
  <c r="S43" i="15"/>
  <c r="S41" i="15"/>
  <c r="S146" i="15"/>
  <c r="S145" i="15"/>
  <c r="S83" i="15"/>
  <c r="S86" i="15"/>
  <c r="S147" i="15"/>
  <c r="S117" i="15"/>
  <c r="S115" i="15"/>
  <c r="S116" i="15"/>
  <c r="S148" i="15"/>
  <c r="S114" i="15"/>
  <c r="R108" i="13" s="1"/>
  <c r="S85" i="15"/>
  <c r="S111" i="15"/>
  <c r="S108" i="15"/>
  <c r="R107" i="13" s="1"/>
  <c r="S142" i="15"/>
  <c r="S79" i="15"/>
  <c r="S109" i="15"/>
  <c r="S140" i="15"/>
  <c r="S141" i="15"/>
  <c r="S77" i="15"/>
  <c r="S135" i="15"/>
  <c r="S72" i="15"/>
  <c r="S139" i="15"/>
  <c r="S133" i="15"/>
  <c r="S105" i="15"/>
  <c r="S80" i="15"/>
  <c r="S136" i="15"/>
  <c r="S104" i="15"/>
  <c r="S103" i="15"/>
  <c r="S74" i="15"/>
  <c r="S110" i="15"/>
  <c r="S78" i="15"/>
  <c r="S134" i="15"/>
  <c r="S102" i="15"/>
  <c r="R106" i="13" s="1"/>
  <c r="S73" i="15"/>
  <c r="S71" i="15"/>
  <c r="S36" i="15"/>
  <c r="S34" i="15"/>
  <c r="S35" i="15"/>
  <c r="S37" i="15"/>
  <c r="S67" i="15"/>
  <c r="S98" i="15"/>
  <c r="S66" i="15"/>
  <c r="S99" i="15"/>
  <c r="S130" i="15"/>
  <c r="L94" i="15"/>
  <c r="L32" i="15"/>
  <c r="L125" i="15"/>
  <c r="R15" i="15"/>
  <c r="R16" i="15"/>
  <c r="S17" i="15"/>
  <c r="T14" i="15"/>
  <c r="T67" i="15" s="1"/>
  <c r="U13" i="15"/>
  <c r="M129" i="13" l="1"/>
  <c r="P31" i="4"/>
  <c r="M19" i="15"/>
  <c r="M94" i="15" s="1"/>
  <c r="M97" i="13"/>
  <c r="O110" i="4"/>
  <c r="O103" i="4"/>
  <c r="P86" i="5"/>
  <c r="O163" i="4"/>
  <c r="O80" i="4"/>
  <c r="P93" i="5"/>
  <c r="O177" i="4"/>
  <c r="O32" i="4"/>
  <c r="O87" i="4"/>
  <c r="O154" i="4"/>
  <c r="P46" i="5"/>
  <c r="P62" i="5" s="1"/>
  <c r="P14" i="5"/>
  <c r="P77" i="5"/>
  <c r="P21" i="5"/>
  <c r="O94" i="4"/>
  <c r="O43" i="4"/>
  <c r="O140" i="4"/>
  <c r="P70" i="5"/>
  <c r="P7" i="5"/>
  <c r="O64" i="4"/>
  <c r="O170" i="4"/>
  <c r="P107" i="5"/>
  <c r="O184" i="4"/>
  <c r="O57" i="4"/>
  <c r="O117" i="4"/>
  <c r="M168" i="13"/>
  <c r="P100" i="5"/>
  <c r="P114" i="5"/>
  <c r="P38" i="5"/>
  <c r="N19" i="15" s="1"/>
  <c r="N125" i="15" s="1"/>
  <c r="O147" i="4"/>
  <c r="O50" i="4"/>
  <c r="O124" i="4"/>
  <c r="O73" i="4"/>
  <c r="O133" i="4"/>
  <c r="M90" i="13"/>
  <c r="M104" i="13"/>
  <c r="M143" i="13"/>
  <c r="Q33" i="5"/>
  <c r="M175" i="13"/>
  <c r="M111" i="13"/>
  <c r="M122" i="13"/>
  <c r="R34" i="5"/>
  <c r="Q32" i="5"/>
  <c r="M136" i="13"/>
  <c r="M161" i="13"/>
  <c r="M154" i="13"/>
  <c r="T99" i="15"/>
  <c r="T65" i="15"/>
  <c r="R112" i="13"/>
  <c r="T127" i="15"/>
  <c r="T130" i="15"/>
  <c r="T66" i="15"/>
  <c r="T98" i="15"/>
  <c r="Q123" i="13"/>
  <c r="R114" i="13"/>
  <c r="R99" i="13"/>
  <c r="R116" i="13"/>
  <c r="R102" i="13"/>
  <c r="R115" i="13"/>
  <c r="R101" i="13"/>
  <c r="R113" i="13"/>
  <c r="R98" i="13"/>
  <c r="R95" i="13"/>
  <c r="R94" i="13"/>
  <c r="R100" i="13"/>
  <c r="R93" i="13"/>
  <c r="R92" i="13"/>
  <c r="R91" i="13"/>
  <c r="T129" i="15"/>
  <c r="T154" i="15"/>
  <c r="T152" i="15"/>
  <c r="T123" i="15"/>
  <c r="T153" i="15"/>
  <c r="T151" i="15"/>
  <c r="T122" i="15"/>
  <c r="T120" i="15"/>
  <c r="S109" i="13" s="1"/>
  <c r="T91" i="15"/>
  <c r="T89" i="15"/>
  <c r="T121" i="15"/>
  <c r="T92" i="15"/>
  <c r="T90" i="15"/>
  <c r="T61" i="15"/>
  <c r="T59" i="15"/>
  <c r="T60" i="15"/>
  <c r="T58" i="15"/>
  <c r="T54" i="15"/>
  <c r="T52" i="15"/>
  <c r="T49" i="15"/>
  <c r="T47" i="15"/>
  <c r="T42" i="15"/>
  <c r="T40" i="15"/>
  <c r="T55" i="15"/>
  <c r="T53" i="15"/>
  <c r="T48" i="15"/>
  <c r="T46" i="15"/>
  <c r="T43" i="15"/>
  <c r="T41" i="15"/>
  <c r="T145" i="15"/>
  <c r="T117" i="15"/>
  <c r="T114" i="15"/>
  <c r="S108" i="13" s="1"/>
  <c r="T148" i="15"/>
  <c r="T84" i="15"/>
  <c r="T147" i="15"/>
  <c r="T116" i="15"/>
  <c r="T86" i="15"/>
  <c r="T115" i="15"/>
  <c r="T146" i="15"/>
  <c r="T85" i="15"/>
  <c r="T110" i="15"/>
  <c r="T109" i="15"/>
  <c r="T142" i="15"/>
  <c r="T141" i="15"/>
  <c r="T79" i="15"/>
  <c r="T83" i="15"/>
  <c r="T80" i="15"/>
  <c r="T108" i="15"/>
  <c r="S107" i="13" s="1"/>
  <c r="T139" i="15"/>
  <c r="T78" i="15"/>
  <c r="T77" i="15"/>
  <c r="T111" i="15"/>
  <c r="T133" i="15"/>
  <c r="T104" i="15"/>
  <c r="T73" i="15"/>
  <c r="T136" i="15"/>
  <c r="T105" i="15"/>
  <c r="T102" i="15"/>
  <c r="S106" i="13" s="1"/>
  <c r="T74" i="15"/>
  <c r="T140" i="15"/>
  <c r="T134" i="15"/>
  <c r="T103" i="15"/>
  <c r="T71" i="15"/>
  <c r="T135" i="15"/>
  <c r="T72" i="15"/>
  <c r="T36" i="15"/>
  <c r="T37" i="15"/>
  <c r="T34" i="15"/>
  <c r="T35" i="15"/>
  <c r="T128" i="15"/>
  <c r="T68" i="15"/>
  <c r="T97" i="15"/>
  <c r="T96" i="15"/>
  <c r="S105" i="13" s="1"/>
  <c r="S16" i="15"/>
  <c r="T17" i="15"/>
  <c r="S15" i="15"/>
  <c r="V13" i="15"/>
  <c r="U14" i="15"/>
  <c r="N143" i="13" l="1"/>
  <c r="Q31" i="4"/>
  <c r="M63" i="15"/>
  <c r="M125" i="15"/>
  <c r="M32" i="15"/>
  <c r="P54" i="5"/>
  <c r="S112" i="13"/>
  <c r="Q107" i="5"/>
  <c r="P133" i="4"/>
  <c r="R32" i="5"/>
  <c r="P64" i="4"/>
  <c r="P124" i="4"/>
  <c r="Q86" i="5"/>
  <c r="P32" i="4"/>
  <c r="Q114" i="5"/>
  <c r="P80" i="4"/>
  <c r="P184" i="4"/>
  <c r="Q46" i="5"/>
  <c r="Q62" i="5" s="1"/>
  <c r="P103" i="4"/>
  <c r="P50" i="4"/>
  <c r="P163" i="4"/>
  <c r="S34" i="5"/>
  <c r="Q100" i="5"/>
  <c r="Q77" i="5"/>
  <c r="Q7" i="5"/>
  <c r="P140" i="4"/>
  <c r="P170" i="4"/>
  <c r="P147" i="4"/>
  <c r="P73" i="4"/>
  <c r="P87" i="4"/>
  <c r="P154" i="4"/>
  <c r="R33" i="5"/>
  <c r="Q38" i="5"/>
  <c r="Q54" i="5" s="1"/>
  <c r="Q21" i="5"/>
  <c r="P117" i="4"/>
  <c r="Q70" i="5"/>
  <c r="Q93" i="5"/>
  <c r="Q14" i="5"/>
  <c r="P43" i="4"/>
  <c r="P57" i="4"/>
  <c r="P177" i="4"/>
  <c r="P94" i="4"/>
  <c r="P110" i="4"/>
  <c r="N129" i="13"/>
  <c r="N168" i="13"/>
  <c r="N136" i="13"/>
  <c r="N97" i="13"/>
  <c r="N161" i="13"/>
  <c r="N90" i="13"/>
  <c r="N175" i="13"/>
  <c r="N104" i="13"/>
  <c r="N122" i="13"/>
  <c r="N111" i="13"/>
  <c r="N154" i="13"/>
  <c r="U66" i="15"/>
  <c r="U97" i="15"/>
  <c r="U128" i="15"/>
  <c r="R123" i="13"/>
  <c r="N94" i="15"/>
  <c r="S101" i="13"/>
  <c r="S93" i="13"/>
  <c r="S116" i="13"/>
  <c r="S102" i="13"/>
  <c r="S95" i="13"/>
  <c r="S115" i="13"/>
  <c r="S114" i="13"/>
  <c r="S100" i="13"/>
  <c r="S113" i="13"/>
  <c r="S99" i="13"/>
  <c r="S92" i="13"/>
  <c r="S91" i="13"/>
  <c r="S94" i="13"/>
  <c r="S98" i="13"/>
  <c r="U68" i="15"/>
  <c r="U98" i="15"/>
  <c r="U99" i="15"/>
  <c r="U65" i="15"/>
  <c r="U127" i="15"/>
  <c r="U96" i="15"/>
  <c r="T105" i="13" s="1"/>
  <c r="U153" i="15"/>
  <c r="U151" i="15"/>
  <c r="U122" i="15"/>
  <c r="U154" i="15"/>
  <c r="U152" i="15"/>
  <c r="U123" i="15"/>
  <c r="U121" i="15"/>
  <c r="U92" i="15"/>
  <c r="U90" i="15"/>
  <c r="U120" i="15"/>
  <c r="T109" i="13" s="1"/>
  <c r="U91" i="15"/>
  <c r="U89" i="15"/>
  <c r="U61" i="15"/>
  <c r="U59" i="15"/>
  <c r="U83" i="15"/>
  <c r="U60" i="15"/>
  <c r="U58" i="15"/>
  <c r="U85" i="15"/>
  <c r="U55" i="15"/>
  <c r="U53" i="15"/>
  <c r="U48" i="15"/>
  <c r="U46" i="15"/>
  <c r="U43" i="15"/>
  <c r="U41" i="15"/>
  <c r="U54" i="15"/>
  <c r="U52" i="15"/>
  <c r="U49" i="15"/>
  <c r="U47" i="15"/>
  <c r="U42" i="15"/>
  <c r="U40" i="15"/>
  <c r="U84" i="15"/>
  <c r="U145" i="15"/>
  <c r="U114" i="15"/>
  <c r="T108" i="13" s="1"/>
  <c r="U115" i="15"/>
  <c r="U86" i="15"/>
  <c r="U146" i="15"/>
  <c r="U110" i="15"/>
  <c r="U109" i="15"/>
  <c r="U141" i="15"/>
  <c r="U79" i="15"/>
  <c r="U116" i="15"/>
  <c r="U78" i="15"/>
  <c r="U148" i="15"/>
  <c r="U117" i="15"/>
  <c r="U142" i="15"/>
  <c r="U77" i="15"/>
  <c r="U147" i="15"/>
  <c r="U134" i="15"/>
  <c r="U108" i="15"/>
  <c r="T107" i="13" s="1"/>
  <c r="U71" i="15"/>
  <c r="U111" i="15"/>
  <c r="U140" i="15"/>
  <c r="U135" i="15"/>
  <c r="U80" i="15"/>
  <c r="U139" i="15"/>
  <c r="U136" i="15"/>
  <c r="U133" i="15"/>
  <c r="U73" i="15"/>
  <c r="U103" i="15"/>
  <c r="U74" i="15"/>
  <c r="U104" i="15"/>
  <c r="U72" i="15"/>
  <c r="U105" i="15"/>
  <c r="U102" i="15"/>
  <c r="T106" i="13" s="1"/>
  <c r="U34" i="15"/>
  <c r="U37" i="15"/>
  <c r="U35" i="15"/>
  <c r="U36" i="15"/>
  <c r="U67" i="15"/>
  <c r="U130" i="15"/>
  <c r="U129" i="15"/>
  <c r="N63" i="15"/>
  <c r="N32" i="15"/>
  <c r="V14" i="15"/>
  <c r="W13" i="15"/>
  <c r="T16" i="15"/>
  <c r="U17" i="15"/>
  <c r="T15" i="15"/>
  <c r="O168" i="13" l="1"/>
  <c r="R31" i="4"/>
  <c r="T34" i="5"/>
  <c r="O19" i="15"/>
  <c r="O63" i="15" s="1"/>
  <c r="Q117" i="4"/>
  <c r="Q133" i="4"/>
  <c r="R70" i="5"/>
  <c r="R114" i="5"/>
  <c r="Q87" i="4"/>
  <c r="Q43" i="4"/>
  <c r="Q64" i="4"/>
  <c r="Q177" i="4"/>
  <c r="R46" i="5"/>
  <c r="R62" i="5" s="1"/>
  <c r="Q163" i="4"/>
  <c r="R86" i="5"/>
  <c r="Q94" i="4"/>
  <c r="Q170" i="4"/>
  <c r="O143" i="13"/>
  <c r="R100" i="5"/>
  <c r="R21" i="5"/>
  <c r="R107" i="5"/>
  <c r="R77" i="5"/>
  <c r="R14" i="5"/>
  <c r="Q32" i="4"/>
  <c r="Q124" i="4"/>
  <c r="R38" i="5"/>
  <c r="P19" i="15" s="1"/>
  <c r="P125" i="15" s="1"/>
  <c r="R93" i="5"/>
  <c r="R7" i="5"/>
  <c r="Q57" i="4"/>
  <c r="Q50" i="4"/>
  <c r="Q110" i="4"/>
  <c r="Q147" i="4"/>
  <c r="Q184" i="4"/>
  <c r="Q103" i="4"/>
  <c r="Q73" i="4"/>
  <c r="Q80" i="4"/>
  <c r="Q140" i="4"/>
  <c r="Q154" i="4"/>
  <c r="O111" i="13"/>
  <c r="S32" i="5"/>
  <c r="S33" i="5"/>
  <c r="O161" i="13"/>
  <c r="O104" i="13"/>
  <c r="O90" i="13"/>
  <c r="O97" i="13"/>
  <c r="O122" i="13"/>
  <c r="O175" i="13"/>
  <c r="O154" i="13"/>
  <c r="O129" i="13"/>
  <c r="O136" i="13"/>
  <c r="T112" i="13"/>
  <c r="S123" i="13"/>
  <c r="T113" i="13"/>
  <c r="T102" i="13"/>
  <c r="T116" i="13"/>
  <c r="T101" i="13"/>
  <c r="T94" i="13"/>
  <c r="T115" i="13"/>
  <c r="T114" i="13"/>
  <c r="T95" i="13"/>
  <c r="T100" i="13"/>
  <c r="T93" i="13"/>
  <c r="T99" i="13"/>
  <c r="T92" i="13"/>
  <c r="T98" i="13"/>
  <c r="T91" i="13"/>
  <c r="V153" i="15"/>
  <c r="V151" i="15"/>
  <c r="V122" i="15"/>
  <c r="V154" i="15"/>
  <c r="V152" i="15"/>
  <c r="V123" i="15"/>
  <c r="V121" i="15"/>
  <c r="V92" i="15"/>
  <c r="V90" i="15"/>
  <c r="V116" i="15"/>
  <c r="V120" i="15"/>
  <c r="U109" i="13" s="1"/>
  <c r="V91" i="15"/>
  <c r="V89" i="15"/>
  <c r="V83" i="15"/>
  <c r="V60" i="15"/>
  <c r="V58" i="15"/>
  <c r="V85" i="15"/>
  <c r="V61" i="15"/>
  <c r="V59" i="15"/>
  <c r="V55" i="15"/>
  <c r="V53" i="15"/>
  <c r="V48" i="15"/>
  <c r="V46" i="15"/>
  <c r="V43" i="15"/>
  <c r="V41" i="15"/>
  <c r="V54" i="15"/>
  <c r="V52" i="15"/>
  <c r="V49" i="15"/>
  <c r="V47" i="15"/>
  <c r="V42" i="15"/>
  <c r="V40" i="15"/>
  <c r="V147" i="15"/>
  <c r="V84" i="15"/>
  <c r="V142" i="15"/>
  <c r="V77" i="15"/>
  <c r="V146" i="15"/>
  <c r="V115" i="15"/>
  <c r="V86" i="15"/>
  <c r="V111" i="15"/>
  <c r="V108" i="15"/>
  <c r="U107" i="13" s="1"/>
  <c r="V139" i="15"/>
  <c r="V79" i="15"/>
  <c r="V109" i="15"/>
  <c r="V114" i="15"/>
  <c r="U108" i="13" s="1"/>
  <c r="V110" i="15"/>
  <c r="V141" i="15"/>
  <c r="V78" i="15"/>
  <c r="V140" i="15"/>
  <c r="V148" i="15"/>
  <c r="V145" i="15"/>
  <c r="V117" i="15"/>
  <c r="V80" i="15"/>
  <c r="V104" i="15"/>
  <c r="V103" i="15"/>
  <c r="V74" i="15"/>
  <c r="V71" i="15"/>
  <c r="V135" i="15"/>
  <c r="V102" i="15"/>
  <c r="U106" i="13" s="1"/>
  <c r="V136" i="15"/>
  <c r="V133" i="15"/>
  <c r="V72" i="15"/>
  <c r="V73" i="15"/>
  <c r="V134" i="15"/>
  <c r="V105" i="15"/>
  <c r="V37" i="15"/>
  <c r="V34" i="15"/>
  <c r="V35" i="15"/>
  <c r="V36" i="15"/>
  <c r="V98" i="15"/>
  <c r="V66" i="15"/>
  <c r="V130" i="15"/>
  <c r="V67" i="15"/>
  <c r="V129" i="15"/>
  <c r="V128" i="15"/>
  <c r="V68" i="15"/>
  <c r="V65" i="15"/>
  <c r="V96" i="15"/>
  <c r="U105" i="13" s="1"/>
  <c r="V127" i="15"/>
  <c r="V97" i="15"/>
  <c r="V99" i="15"/>
  <c r="V17" i="15"/>
  <c r="U15" i="15"/>
  <c r="U16" i="15"/>
  <c r="W14" i="15"/>
  <c r="X13" i="15"/>
  <c r="P143" i="13" l="1"/>
  <c r="S31" i="4"/>
  <c r="O125" i="15"/>
  <c r="T32" i="5"/>
  <c r="S184" i="4" s="1"/>
  <c r="T33" i="5"/>
  <c r="U34" i="5"/>
  <c r="O94" i="15"/>
  <c r="O32" i="15"/>
  <c r="S14" i="5"/>
  <c r="S38" i="5"/>
  <c r="S54" i="5" s="1"/>
  <c r="R103" i="4"/>
  <c r="S93" i="5"/>
  <c r="R117" i="4"/>
  <c r="U112" i="13"/>
  <c r="S70" i="5"/>
  <c r="R32" i="4"/>
  <c r="S107" i="5"/>
  <c r="S114" i="5"/>
  <c r="R170" i="4"/>
  <c r="P97" i="13"/>
  <c r="P136" i="13"/>
  <c r="R64" i="4"/>
  <c r="P168" i="13"/>
  <c r="P104" i="13"/>
  <c r="P175" i="13"/>
  <c r="P129" i="13"/>
  <c r="S46" i="5"/>
  <c r="S62" i="5" s="1"/>
  <c r="S86" i="5"/>
  <c r="S21" i="5"/>
  <c r="R73" i="4"/>
  <c r="R147" i="4"/>
  <c r="R87" i="4"/>
  <c r="R154" i="4"/>
  <c r="S77" i="5"/>
  <c r="S100" i="5"/>
  <c r="S7" i="5"/>
  <c r="R110" i="4"/>
  <c r="R184" i="4"/>
  <c r="R124" i="4"/>
  <c r="R43" i="4"/>
  <c r="R57" i="4"/>
  <c r="R163" i="4"/>
  <c r="R54" i="5"/>
  <c r="R50" i="4"/>
  <c r="R133" i="4"/>
  <c r="R140" i="4"/>
  <c r="R80" i="4"/>
  <c r="R94" i="4"/>
  <c r="R177" i="4"/>
  <c r="P90" i="13"/>
  <c r="P122" i="13"/>
  <c r="P111" i="13"/>
  <c r="P161" i="13"/>
  <c r="P154" i="13"/>
  <c r="W130" i="15"/>
  <c r="T123" i="13"/>
  <c r="W97" i="15"/>
  <c r="W128" i="15"/>
  <c r="U100" i="13"/>
  <c r="U98" i="13"/>
  <c r="U116" i="13"/>
  <c r="U95" i="13"/>
  <c r="U94" i="13"/>
  <c r="U115" i="13"/>
  <c r="U114" i="13"/>
  <c r="U93" i="13"/>
  <c r="U113" i="13"/>
  <c r="U91" i="13"/>
  <c r="U102" i="13"/>
  <c r="U101" i="13"/>
  <c r="U99" i="13"/>
  <c r="U92" i="13"/>
  <c r="P32" i="15"/>
  <c r="W96" i="15"/>
  <c r="V105" i="13" s="1"/>
  <c r="W65" i="15"/>
  <c r="W66" i="15"/>
  <c r="W154" i="15"/>
  <c r="W152" i="15"/>
  <c r="W123" i="15"/>
  <c r="W153" i="15"/>
  <c r="W151" i="15"/>
  <c r="W122" i="15"/>
  <c r="W120" i="15"/>
  <c r="V109" i="13" s="1"/>
  <c r="W91" i="15"/>
  <c r="W89" i="15"/>
  <c r="W121" i="15"/>
  <c r="W92" i="15"/>
  <c r="W90" i="15"/>
  <c r="W60" i="15"/>
  <c r="W58" i="15"/>
  <c r="W61" i="15"/>
  <c r="W59" i="15"/>
  <c r="W54" i="15"/>
  <c r="W52" i="15"/>
  <c r="W49" i="15"/>
  <c r="W47" i="15"/>
  <c r="W42" i="15"/>
  <c r="W40" i="15"/>
  <c r="W55" i="15"/>
  <c r="W53" i="15"/>
  <c r="W48" i="15"/>
  <c r="W46" i="15"/>
  <c r="W43" i="15"/>
  <c r="W41" i="15"/>
  <c r="W86" i="15"/>
  <c r="W148" i="15"/>
  <c r="W84" i="15"/>
  <c r="W117" i="15"/>
  <c r="W83" i="15"/>
  <c r="W115" i="15"/>
  <c r="W116" i="15"/>
  <c r="W147" i="15"/>
  <c r="W114" i="15"/>
  <c r="V108" i="13" s="1"/>
  <c r="W146" i="15"/>
  <c r="W145" i="15"/>
  <c r="W85" i="15"/>
  <c r="W109" i="15"/>
  <c r="W140" i="15"/>
  <c r="W80" i="15"/>
  <c r="W79" i="15"/>
  <c r="W110" i="15"/>
  <c r="W141" i="15"/>
  <c r="W78" i="15"/>
  <c r="W133" i="15"/>
  <c r="W105" i="15"/>
  <c r="W139" i="15"/>
  <c r="W136" i="15"/>
  <c r="W104" i="15"/>
  <c r="W103" i="15"/>
  <c r="W72" i="15"/>
  <c r="W111" i="15"/>
  <c r="W77" i="15"/>
  <c r="W134" i="15"/>
  <c r="W102" i="15"/>
  <c r="V106" i="13" s="1"/>
  <c r="W108" i="15"/>
  <c r="V107" i="13" s="1"/>
  <c r="W142" i="15"/>
  <c r="W135" i="15"/>
  <c r="W74" i="15"/>
  <c r="W71" i="15"/>
  <c r="W73" i="15"/>
  <c r="W37" i="15"/>
  <c r="W35" i="15"/>
  <c r="W36" i="15"/>
  <c r="W34" i="15"/>
  <c r="W98" i="15"/>
  <c r="W127" i="15"/>
  <c r="W67" i="15"/>
  <c r="W68" i="15"/>
  <c r="W99" i="15"/>
  <c r="W129" i="15"/>
  <c r="P94" i="15"/>
  <c r="P63" i="15"/>
  <c r="X14" i="15"/>
  <c r="Y13" i="15"/>
  <c r="V15" i="15"/>
  <c r="V16" i="15"/>
  <c r="W17" i="15"/>
  <c r="U33" i="5"/>
  <c r="R161" i="13" l="1"/>
  <c r="Q175" i="13"/>
  <c r="T31" i="4"/>
  <c r="T86" i="5"/>
  <c r="T107" i="5"/>
  <c r="T7" i="5"/>
  <c r="S124" i="4"/>
  <c r="S64" i="4"/>
  <c r="S73" i="4"/>
  <c r="S147" i="4"/>
  <c r="S163" i="4"/>
  <c r="T77" i="5"/>
  <c r="T100" i="5"/>
  <c r="S32" i="4"/>
  <c r="S50" i="4"/>
  <c r="S80" i="4"/>
  <c r="S87" i="4"/>
  <c r="S177" i="4"/>
  <c r="T46" i="5"/>
  <c r="T62" i="5" s="1"/>
  <c r="S103" i="4"/>
  <c r="T38" i="5"/>
  <c r="R19" i="15" s="1"/>
  <c r="R94" i="15" s="1"/>
  <c r="S170" i="4"/>
  <c r="T114" i="5"/>
  <c r="T14" i="5"/>
  <c r="S154" i="4"/>
  <c r="S110" i="4"/>
  <c r="S43" i="4"/>
  <c r="S140" i="4"/>
  <c r="T70" i="5"/>
  <c r="T93" i="5"/>
  <c r="T21" i="5"/>
  <c r="S94" i="4"/>
  <c r="S133" i="4"/>
  <c r="S57" i="4"/>
  <c r="S117" i="4"/>
  <c r="U32" i="5"/>
  <c r="T170" i="4" s="1"/>
  <c r="V34" i="5"/>
  <c r="Q143" i="13"/>
  <c r="Q111" i="13"/>
  <c r="Q136" i="13"/>
  <c r="Q90" i="13"/>
  <c r="Q122" i="13"/>
  <c r="Q168" i="13"/>
  <c r="Q129" i="13"/>
  <c r="Q154" i="13"/>
  <c r="Q97" i="13"/>
  <c r="Q104" i="13"/>
  <c r="Q161" i="13"/>
  <c r="Q19" i="15"/>
  <c r="Q32" i="15" s="1"/>
  <c r="U123" i="13"/>
  <c r="V91" i="13"/>
  <c r="V112" i="13"/>
  <c r="V116" i="13"/>
  <c r="V94" i="13"/>
  <c r="V115" i="13"/>
  <c r="V101" i="13"/>
  <c r="V114" i="13"/>
  <c r="V93" i="13"/>
  <c r="V113" i="13"/>
  <c r="V92" i="13"/>
  <c r="V102" i="13"/>
  <c r="V95" i="13"/>
  <c r="V100" i="13"/>
  <c r="V99" i="13"/>
  <c r="X97" i="15"/>
  <c r="X128" i="15"/>
  <c r="X68" i="15"/>
  <c r="X99" i="15"/>
  <c r="X96" i="15"/>
  <c r="W105" i="13" s="1"/>
  <c r="X130" i="15"/>
  <c r="X154" i="15"/>
  <c r="X152" i="15"/>
  <c r="X123" i="15"/>
  <c r="X153" i="15"/>
  <c r="X151" i="15"/>
  <c r="X122" i="15"/>
  <c r="X120" i="15"/>
  <c r="W109" i="13" s="1"/>
  <c r="X91" i="15"/>
  <c r="X89" i="15"/>
  <c r="X115" i="15"/>
  <c r="X121" i="15"/>
  <c r="X92" i="15"/>
  <c r="X90" i="15"/>
  <c r="X61" i="15"/>
  <c r="X59" i="15"/>
  <c r="X60" i="15"/>
  <c r="X58" i="15"/>
  <c r="X54" i="15"/>
  <c r="X52" i="15"/>
  <c r="X49" i="15"/>
  <c r="X47" i="15"/>
  <c r="X42" i="15"/>
  <c r="X40" i="15"/>
  <c r="X55" i="15"/>
  <c r="X53" i="15"/>
  <c r="X48" i="15"/>
  <c r="X46" i="15"/>
  <c r="X43" i="15"/>
  <c r="X41" i="15"/>
  <c r="X117" i="15"/>
  <c r="X148" i="15"/>
  <c r="X116" i="15"/>
  <c r="X146" i="15"/>
  <c r="X84" i="15"/>
  <c r="X85" i="15"/>
  <c r="X78" i="15"/>
  <c r="X145" i="15"/>
  <c r="X83" i="15"/>
  <c r="X80" i="15"/>
  <c r="X114" i="15"/>
  <c r="W108" i="13" s="1"/>
  <c r="X108" i="15"/>
  <c r="W107" i="13" s="1"/>
  <c r="X139" i="15"/>
  <c r="X79" i="15"/>
  <c r="X86" i="15"/>
  <c r="X111" i="15"/>
  <c r="X140" i="15"/>
  <c r="X147" i="15"/>
  <c r="X109" i="15"/>
  <c r="X142" i="15"/>
  <c r="X71" i="15"/>
  <c r="X136" i="15"/>
  <c r="X105" i="15"/>
  <c r="X102" i="15"/>
  <c r="W106" i="13" s="1"/>
  <c r="X72" i="15"/>
  <c r="X134" i="15"/>
  <c r="X103" i="15"/>
  <c r="X141" i="15"/>
  <c r="X73" i="15"/>
  <c r="X135" i="15"/>
  <c r="X74" i="15"/>
  <c r="X110" i="15"/>
  <c r="X77" i="15"/>
  <c r="X133" i="15"/>
  <c r="X104" i="15"/>
  <c r="X37" i="15"/>
  <c r="X35" i="15"/>
  <c r="X34" i="15"/>
  <c r="X36" i="15"/>
  <c r="X127" i="15"/>
  <c r="X67" i="15"/>
  <c r="X98" i="15"/>
  <c r="X129" i="15"/>
  <c r="X65" i="15"/>
  <c r="X66" i="15"/>
  <c r="V98" i="13"/>
  <c r="Q125" i="15"/>
  <c r="R97" i="13"/>
  <c r="R136" i="13"/>
  <c r="R175" i="13"/>
  <c r="R154" i="13"/>
  <c r="R143" i="13"/>
  <c r="R122" i="13"/>
  <c r="R111" i="13"/>
  <c r="R90" i="13"/>
  <c r="R168" i="13"/>
  <c r="R129" i="13"/>
  <c r="R104" i="13"/>
  <c r="Z13" i="15"/>
  <c r="Y14" i="15"/>
  <c r="W16" i="15"/>
  <c r="X17" i="15"/>
  <c r="W15" i="15"/>
  <c r="U31" i="4" l="1"/>
  <c r="U21" i="5"/>
  <c r="T177" i="4"/>
  <c r="T43" i="4"/>
  <c r="U70" i="5"/>
  <c r="W34" i="5"/>
  <c r="X34" i="5" s="1"/>
  <c r="T54" i="5"/>
  <c r="V32" i="5"/>
  <c r="U154" i="4" s="1"/>
  <c r="V33" i="5"/>
  <c r="U7" i="5"/>
  <c r="T64" i="4"/>
  <c r="T80" i="4"/>
  <c r="T163" i="4"/>
  <c r="T147" i="4"/>
  <c r="U38" i="5"/>
  <c r="S19" i="15" s="1"/>
  <c r="S125" i="15" s="1"/>
  <c r="T73" i="4"/>
  <c r="U46" i="5"/>
  <c r="U62" i="5" s="1"/>
  <c r="U77" i="5"/>
  <c r="T117" i="4"/>
  <c r="T32" i="4"/>
  <c r="T184" i="4"/>
  <c r="U86" i="5"/>
  <c r="U93" i="5"/>
  <c r="U14" i="5"/>
  <c r="T110" i="4"/>
  <c r="T94" i="4"/>
  <c r="T50" i="4"/>
  <c r="T103" i="4"/>
  <c r="T133" i="4"/>
  <c r="U114" i="5"/>
  <c r="U100" i="5"/>
  <c r="U107" i="5"/>
  <c r="T57" i="4"/>
  <c r="T140" i="4"/>
  <c r="T154" i="4"/>
  <c r="T87" i="4"/>
  <c r="T124" i="4"/>
  <c r="Q63" i="15"/>
  <c r="Q94" i="15"/>
  <c r="V123" i="13"/>
  <c r="Y68" i="15"/>
  <c r="Y130" i="15"/>
  <c r="Y96" i="15"/>
  <c r="X105" i="13" s="1"/>
  <c r="Y65" i="15"/>
  <c r="W116" i="13"/>
  <c r="W95" i="13"/>
  <c r="W115" i="13"/>
  <c r="W114" i="13"/>
  <c r="W100" i="13"/>
  <c r="W113" i="13"/>
  <c r="W99" i="13"/>
  <c r="W112" i="13"/>
  <c r="W98" i="13"/>
  <c r="W91" i="13"/>
  <c r="W102" i="13"/>
  <c r="W101" i="13"/>
  <c r="W94" i="13"/>
  <c r="W93" i="13"/>
  <c r="W92" i="13"/>
  <c r="R125" i="15"/>
  <c r="Y67" i="15"/>
  <c r="Y127" i="15"/>
  <c r="Y99" i="15"/>
  <c r="Y129" i="15"/>
  <c r="Y154" i="15"/>
  <c r="Y153" i="15"/>
  <c r="Y151" i="15"/>
  <c r="Y122" i="15"/>
  <c r="Y152" i="15"/>
  <c r="Y123" i="15"/>
  <c r="Y121" i="15"/>
  <c r="Y92" i="15"/>
  <c r="Y90" i="15"/>
  <c r="Y120" i="15"/>
  <c r="X109" i="13" s="1"/>
  <c r="Y91" i="15"/>
  <c r="Y89" i="15"/>
  <c r="Y83" i="15"/>
  <c r="Y61" i="15"/>
  <c r="Y59" i="15"/>
  <c r="Y85" i="15"/>
  <c r="Y60" i="15"/>
  <c r="Y58" i="15"/>
  <c r="Y55" i="15"/>
  <c r="Y53" i="15"/>
  <c r="Y48" i="15"/>
  <c r="Y46" i="15"/>
  <c r="Y43" i="15"/>
  <c r="Y41" i="15"/>
  <c r="Y54" i="15"/>
  <c r="Y52" i="15"/>
  <c r="Y49" i="15"/>
  <c r="Y47" i="15"/>
  <c r="Y42" i="15"/>
  <c r="Y40" i="15"/>
  <c r="Y148" i="15"/>
  <c r="Y147" i="15"/>
  <c r="Y86" i="15"/>
  <c r="Y145" i="15"/>
  <c r="Y146" i="15"/>
  <c r="Y116" i="15"/>
  <c r="Y117" i="15"/>
  <c r="Y84" i="15"/>
  <c r="Y80" i="15"/>
  <c r="Y108" i="15"/>
  <c r="X107" i="13" s="1"/>
  <c r="Y139" i="15"/>
  <c r="Y114" i="15"/>
  <c r="X108" i="13" s="1"/>
  <c r="Y115" i="15"/>
  <c r="Y78" i="15"/>
  <c r="Y111" i="15"/>
  <c r="Y140" i="15"/>
  <c r="Y110" i="15"/>
  <c r="Y77" i="15"/>
  <c r="Y136" i="15"/>
  <c r="Y133" i="15"/>
  <c r="Y73" i="15"/>
  <c r="Y142" i="15"/>
  <c r="Y134" i="15"/>
  <c r="Y109" i="15"/>
  <c r="Y141" i="15"/>
  <c r="Y71" i="15"/>
  <c r="Y79" i="15"/>
  <c r="Y135" i="15"/>
  <c r="Y104" i="15"/>
  <c r="Y74" i="15"/>
  <c r="Y105" i="15"/>
  <c r="Y102" i="15"/>
  <c r="X106" i="13" s="1"/>
  <c r="Y103" i="15"/>
  <c r="Y72" i="15"/>
  <c r="Y34" i="15"/>
  <c r="Y37" i="15"/>
  <c r="Y36" i="15"/>
  <c r="Y35" i="15"/>
  <c r="Y98" i="15"/>
  <c r="Y66" i="15"/>
  <c r="Y128" i="15"/>
  <c r="Y97" i="15"/>
  <c r="R63" i="15"/>
  <c r="R32" i="15"/>
  <c r="X16" i="15"/>
  <c r="Y17" i="15"/>
  <c r="X15" i="15"/>
  <c r="Z14" i="15"/>
  <c r="AA13" i="15"/>
  <c r="D25" i="13"/>
  <c r="D24" i="13"/>
  <c r="D23" i="13"/>
  <c r="D22" i="13"/>
  <c r="S136" i="13" l="1"/>
  <c r="W31" i="4"/>
  <c r="V31" i="4"/>
  <c r="U32" i="4"/>
  <c r="U184" i="4"/>
  <c r="W32" i="5"/>
  <c r="V177" i="4" s="1"/>
  <c r="W33" i="5"/>
  <c r="V77" i="5"/>
  <c r="V46" i="5"/>
  <c r="V62" i="5" s="1"/>
  <c r="U73" i="4"/>
  <c r="U170" i="4"/>
  <c r="V21" i="5"/>
  <c r="U80" i="4"/>
  <c r="V14" i="5"/>
  <c r="U110" i="4"/>
  <c r="V107" i="5"/>
  <c r="U103" i="4"/>
  <c r="U177" i="4"/>
  <c r="U163" i="4"/>
  <c r="V38" i="5"/>
  <c r="T19" i="15" s="1"/>
  <c r="T94" i="15" s="1"/>
  <c r="V114" i="5"/>
  <c r="U117" i="4"/>
  <c r="U50" i="4"/>
  <c r="U133" i="4"/>
  <c r="U54" i="5"/>
  <c r="V93" i="5"/>
  <c r="V100" i="5"/>
  <c r="U43" i="4"/>
  <c r="U140" i="4"/>
  <c r="U94" i="4"/>
  <c r="U147" i="4"/>
  <c r="V86" i="5"/>
  <c r="V70" i="5"/>
  <c r="V7" i="5"/>
  <c r="U57" i="4"/>
  <c r="U87" i="4"/>
  <c r="U64" i="4"/>
  <c r="U124" i="4"/>
  <c r="S143" i="13"/>
  <c r="S111" i="13"/>
  <c r="S154" i="13"/>
  <c r="S104" i="13"/>
  <c r="S161" i="13"/>
  <c r="S129" i="13"/>
  <c r="S97" i="13"/>
  <c r="S90" i="13"/>
  <c r="S168" i="13"/>
  <c r="S122" i="13"/>
  <c r="S175" i="13"/>
  <c r="X112" i="13"/>
  <c r="W123" i="13"/>
  <c r="X102" i="13"/>
  <c r="X116" i="13"/>
  <c r="X115" i="13"/>
  <c r="X114" i="13"/>
  <c r="X93" i="13"/>
  <c r="X113" i="13"/>
  <c r="X92" i="13"/>
  <c r="X91" i="13"/>
  <c r="X98" i="13"/>
  <c r="X95" i="13"/>
  <c r="X101" i="13"/>
  <c r="X94" i="13"/>
  <c r="X100" i="13"/>
  <c r="X99" i="13"/>
  <c r="S94" i="15"/>
  <c r="S63" i="15"/>
  <c r="S32" i="15"/>
  <c r="Z97" i="15"/>
  <c r="Z66" i="15"/>
  <c r="Z68" i="15"/>
  <c r="Z128" i="15"/>
  <c r="Z67" i="15"/>
  <c r="Z96" i="15"/>
  <c r="Y105" i="13" s="1"/>
  <c r="Z130" i="15"/>
  <c r="Z153" i="15"/>
  <c r="Z151" i="15"/>
  <c r="Z122" i="15"/>
  <c r="Z152" i="15"/>
  <c r="Z123" i="15"/>
  <c r="Z154" i="15"/>
  <c r="Z121" i="15"/>
  <c r="Z116" i="15"/>
  <c r="Z92" i="15"/>
  <c r="Z90" i="15"/>
  <c r="Z120" i="15"/>
  <c r="Y109" i="13" s="1"/>
  <c r="Z91" i="15"/>
  <c r="Z89" i="15"/>
  <c r="Z85" i="15"/>
  <c r="Z60" i="15"/>
  <c r="Z58" i="15"/>
  <c r="Z83" i="15"/>
  <c r="Z61" i="15"/>
  <c r="Z59" i="15"/>
  <c r="Z55" i="15"/>
  <c r="Z53" i="15"/>
  <c r="Z48" i="15"/>
  <c r="Z46" i="15"/>
  <c r="Z43" i="15"/>
  <c r="Z41" i="15"/>
  <c r="Z54" i="15"/>
  <c r="Z52" i="15"/>
  <c r="Z49" i="15"/>
  <c r="Z47" i="15"/>
  <c r="Z42" i="15"/>
  <c r="Z40" i="15"/>
  <c r="Z148" i="15"/>
  <c r="Z145" i="15"/>
  <c r="Z117" i="15"/>
  <c r="Z110" i="15"/>
  <c r="Z141" i="15"/>
  <c r="Z109" i="15"/>
  <c r="Z140" i="15"/>
  <c r="Z86" i="15"/>
  <c r="Z142" i="15"/>
  <c r="Z80" i="15"/>
  <c r="Z115" i="15"/>
  <c r="Z84" i="15"/>
  <c r="Z108" i="15"/>
  <c r="Y107" i="13" s="1"/>
  <c r="Z139" i="15"/>
  <c r="Z147" i="15"/>
  <c r="Z79" i="15"/>
  <c r="Z78" i="15"/>
  <c r="Z146" i="15"/>
  <c r="Z114" i="15"/>
  <c r="Y108" i="13" s="1"/>
  <c r="Z111" i="15"/>
  <c r="Z77" i="15"/>
  <c r="Z135" i="15"/>
  <c r="Z102" i="15"/>
  <c r="Y106" i="13" s="1"/>
  <c r="Z136" i="15"/>
  <c r="Z133" i="15"/>
  <c r="Z74" i="15"/>
  <c r="Z71" i="15"/>
  <c r="Z134" i="15"/>
  <c r="Z105" i="15"/>
  <c r="Z104" i="15"/>
  <c r="Z103" i="15"/>
  <c r="Z72" i="15"/>
  <c r="Z73" i="15"/>
  <c r="Z37" i="15"/>
  <c r="Z35" i="15"/>
  <c r="Z34" i="15"/>
  <c r="Z36" i="15"/>
  <c r="Z127" i="15"/>
  <c r="Z65" i="15"/>
  <c r="Z98" i="15"/>
  <c r="Z99" i="15"/>
  <c r="Z129" i="15"/>
  <c r="Z17" i="15"/>
  <c r="Y15" i="15"/>
  <c r="Y16" i="15"/>
  <c r="AA14" i="15"/>
  <c r="AB13" i="15"/>
  <c r="X33" i="5"/>
  <c r="Y34" i="5"/>
  <c r="X32" i="5"/>
  <c r="T97" i="13" l="1"/>
  <c r="W93" i="5"/>
  <c r="W46" i="5"/>
  <c r="W62" i="5" s="1"/>
  <c r="V184" i="4"/>
  <c r="V117" i="4"/>
  <c r="X31" i="4"/>
  <c r="W14" i="5"/>
  <c r="V57" i="4"/>
  <c r="W21" i="5"/>
  <c r="V94" i="4"/>
  <c r="W70" i="5"/>
  <c r="V170" i="4"/>
  <c r="V32" i="4"/>
  <c r="V110" i="4"/>
  <c r="W86" i="5"/>
  <c r="V87" i="4"/>
  <c r="V43" i="4"/>
  <c r="V140" i="4"/>
  <c r="W77" i="5"/>
  <c r="W100" i="5"/>
  <c r="W7" i="5"/>
  <c r="V124" i="4"/>
  <c r="V133" i="4"/>
  <c r="V80" i="4"/>
  <c r="V50" i="4"/>
  <c r="V154" i="4"/>
  <c r="W38" i="5"/>
  <c r="W54" i="5" s="1"/>
  <c r="W107" i="5"/>
  <c r="W114" i="5"/>
  <c r="V64" i="4"/>
  <c r="V147" i="4"/>
  <c r="V163" i="4"/>
  <c r="V103" i="4"/>
  <c r="V73" i="4"/>
  <c r="T154" i="13"/>
  <c r="T168" i="13"/>
  <c r="T136" i="13"/>
  <c r="T143" i="13"/>
  <c r="T175" i="13"/>
  <c r="T104" i="13"/>
  <c r="T122" i="13"/>
  <c r="T90" i="13"/>
  <c r="T129" i="13"/>
  <c r="T111" i="13"/>
  <c r="T161" i="13"/>
  <c r="V54" i="5"/>
  <c r="X123" i="13"/>
  <c r="AA130" i="15"/>
  <c r="AA68" i="15"/>
  <c r="AA98" i="15"/>
  <c r="AA127" i="15"/>
  <c r="AA129" i="15"/>
  <c r="AA128" i="15"/>
  <c r="AA65" i="15"/>
  <c r="Y92" i="13"/>
  <c r="Y113" i="13"/>
  <c r="Y112" i="13"/>
  <c r="Y116" i="13"/>
  <c r="Y102" i="13"/>
  <c r="Y115" i="13"/>
  <c r="Y114" i="13"/>
  <c r="Y100" i="13"/>
  <c r="Y91" i="13"/>
  <c r="Y98" i="13"/>
  <c r="Y95" i="13"/>
  <c r="Y101" i="13"/>
  <c r="Y94" i="13"/>
  <c r="Y93" i="13"/>
  <c r="Y99" i="13"/>
  <c r="T125" i="15"/>
  <c r="AA152" i="15"/>
  <c r="AA123" i="15"/>
  <c r="AA154" i="15"/>
  <c r="AA153" i="15"/>
  <c r="AA151" i="15"/>
  <c r="AA122" i="15"/>
  <c r="AA120" i="15"/>
  <c r="Z109" i="13" s="1"/>
  <c r="AA91" i="15"/>
  <c r="AA89" i="15"/>
  <c r="AA121" i="15"/>
  <c r="AA92" i="15"/>
  <c r="AA90" i="15"/>
  <c r="AA60" i="15"/>
  <c r="AA58" i="15"/>
  <c r="AA61" i="15"/>
  <c r="AA59" i="15"/>
  <c r="AA54" i="15"/>
  <c r="AA52" i="15"/>
  <c r="AA49" i="15"/>
  <c r="AA47" i="15"/>
  <c r="AA42" i="15"/>
  <c r="AA40" i="15"/>
  <c r="AA55" i="15"/>
  <c r="AA53" i="15"/>
  <c r="AA48" i="15"/>
  <c r="AA46" i="15"/>
  <c r="AA43" i="15"/>
  <c r="AA41" i="15"/>
  <c r="AA84" i="15"/>
  <c r="AA115" i="15"/>
  <c r="AA116" i="15"/>
  <c r="AA86" i="15"/>
  <c r="AA148" i="15"/>
  <c r="AA114" i="15"/>
  <c r="Z108" i="13" s="1"/>
  <c r="AA146" i="15"/>
  <c r="AA147" i="15"/>
  <c r="AA145" i="15"/>
  <c r="AA117" i="15"/>
  <c r="AA83" i="15"/>
  <c r="AA77" i="15"/>
  <c r="AA110" i="15"/>
  <c r="AA141" i="15"/>
  <c r="AA111" i="15"/>
  <c r="AA108" i="15"/>
  <c r="Z107" i="13" s="1"/>
  <c r="AA142" i="15"/>
  <c r="AA139" i="15"/>
  <c r="AA79" i="15"/>
  <c r="AA85" i="15"/>
  <c r="AA78" i="15"/>
  <c r="AA136" i="15"/>
  <c r="AA104" i="15"/>
  <c r="AA103" i="15"/>
  <c r="AA74" i="15"/>
  <c r="AA140" i="15"/>
  <c r="AA134" i="15"/>
  <c r="AA102" i="15"/>
  <c r="Z106" i="13" s="1"/>
  <c r="AA109" i="15"/>
  <c r="AA135" i="15"/>
  <c r="AA72" i="15"/>
  <c r="AA80" i="15"/>
  <c r="AA133" i="15"/>
  <c r="AA105" i="15"/>
  <c r="AA71" i="15"/>
  <c r="AA73" i="15"/>
  <c r="AA37" i="15"/>
  <c r="AA35" i="15"/>
  <c r="AA36" i="15"/>
  <c r="AA34" i="15"/>
  <c r="AA66" i="15"/>
  <c r="AA97" i="15"/>
  <c r="AA96" i="15"/>
  <c r="Z105" i="13" s="1"/>
  <c r="AA67" i="15"/>
  <c r="AA99" i="15"/>
  <c r="T32" i="15"/>
  <c r="T63" i="15"/>
  <c r="U19" i="15"/>
  <c r="U32" i="15" s="1"/>
  <c r="U175" i="13"/>
  <c r="U90" i="13"/>
  <c r="U136" i="13"/>
  <c r="U129" i="13"/>
  <c r="AB14" i="15"/>
  <c r="AC13" i="15"/>
  <c r="Z15" i="15"/>
  <c r="Z16" i="15"/>
  <c r="AA17" i="15"/>
  <c r="U111" i="13"/>
  <c r="U154" i="13"/>
  <c r="U104" i="13"/>
  <c r="U168" i="13"/>
  <c r="U161" i="13"/>
  <c r="U143" i="13"/>
  <c r="U97" i="13"/>
  <c r="U122" i="13"/>
  <c r="Y33" i="5"/>
  <c r="W177" i="4"/>
  <c r="W163" i="4"/>
  <c r="W140" i="4"/>
  <c r="W184" i="4"/>
  <c r="W154" i="4"/>
  <c r="W117" i="4"/>
  <c r="W103" i="4"/>
  <c r="W87" i="4"/>
  <c r="W73" i="4"/>
  <c r="W57" i="4"/>
  <c r="W43" i="4"/>
  <c r="W170" i="4"/>
  <c r="W133" i="4"/>
  <c r="W94" i="4"/>
  <c r="W80" i="4"/>
  <c r="W147" i="4"/>
  <c r="W124" i="4"/>
  <c r="W64" i="4"/>
  <c r="W110" i="4"/>
  <c r="W32" i="4"/>
  <c r="W50" i="4"/>
  <c r="X7" i="5"/>
  <c r="X21" i="5"/>
  <c r="X14" i="5"/>
  <c r="X38" i="5"/>
  <c r="X107" i="5"/>
  <c r="X93" i="5"/>
  <c r="X77" i="5"/>
  <c r="X114" i="5"/>
  <c r="X46" i="5"/>
  <c r="X62" i="5" s="1"/>
  <c r="X86" i="5"/>
  <c r="X100" i="5"/>
  <c r="X70" i="5"/>
  <c r="Z34" i="5"/>
  <c r="Y32" i="5"/>
  <c r="V104" i="13" l="1"/>
  <c r="Y31" i="4"/>
  <c r="Y123" i="13"/>
  <c r="U63" i="15"/>
  <c r="Z98" i="13"/>
  <c r="Z116" i="13"/>
  <c r="Z95" i="13"/>
  <c r="Z115" i="13"/>
  <c r="Z114" i="13"/>
  <c r="Z100" i="13"/>
  <c r="Z93" i="13"/>
  <c r="Z113" i="13"/>
  <c r="Z92" i="13"/>
  <c r="Z112" i="13"/>
  <c r="Z91" i="13"/>
  <c r="Z102" i="13"/>
  <c r="Z101" i="13"/>
  <c r="Z94" i="13"/>
  <c r="Z99" i="13"/>
  <c r="V143" i="13"/>
  <c r="U94" i="15"/>
  <c r="V136" i="13"/>
  <c r="U125" i="15"/>
  <c r="AB128" i="15"/>
  <c r="AB66" i="15"/>
  <c r="AB97" i="15"/>
  <c r="AB96" i="15"/>
  <c r="AA105" i="13" s="1"/>
  <c r="AB99" i="15"/>
  <c r="AB127" i="15"/>
  <c r="AB130" i="15"/>
  <c r="AB68" i="15"/>
  <c r="AB98" i="15"/>
  <c r="AB129" i="15"/>
  <c r="AB65" i="15"/>
  <c r="AB67" i="15"/>
  <c r="AB152" i="15"/>
  <c r="AB123" i="15"/>
  <c r="AB154" i="15"/>
  <c r="AB153" i="15"/>
  <c r="AB151" i="15"/>
  <c r="AB122" i="15"/>
  <c r="AB120" i="15"/>
  <c r="AA109" i="13" s="1"/>
  <c r="AB91" i="15"/>
  <c r="AB89" i="15"/>
  <c r="AB121" i="15"/>
  <c r="AB92" i="15"/>
  <c r="AB90" i="15"/>
  <c r="AB61" i="15"/>
  <c r="AB59" i="15"/>
  <c r="AB60" i="15"/>
  <c r="AB58" i="15"/>
  <c r="AB54" i="15"/>
  <c r="AB52" i="15"/>
  <c r="AB49" i="15"/>
  <c r="AB47" i="15"/>
  <c r="AB42" i="15"/>
  <c r="AB40" i="15"/>
  <c r="AB55" i="15"/>
  <c r="AB53" i="15"/>
  <c r="AB48" i="15"/>
  <c r="AB46" i="15"/>
  <c r="AB43" i="15"/>
  <c r="AB41" i="15"/>
  <c r="AB148" i="15"/>
  <c r="AB146" i="15"/>
  <c r="AB116" i="15"/>
  <c r="AB115" i="15"/>
  <c r="AB145" i="15"/>
  <c r="AB117" i="15"/>
  <c r="AB147" i="15"/>
  <c r="AB84" i="15"/>
  <c r="AB77" i="15"/>
  <c r="AB86" i="15"/>
  <c r="AB85" i="15"/>
  <c r="AB111" i="15"/>
  <c r="AB140" i="15"/>
  <c r="AB83" i="15"/>
  <c r="AB80" i="15"/>
  <c r="AB110" i="15"/>
  <c r="AB109" i="15"/>
  <c r="AB142" i="15"/>
  <c r="AB141" i="15"/>
  <c r="AB79" i="15"/>
  <c r="AB114" i="15"/>
  <c r="AA108" i="13" s="1"/>
  <c r="AB78" i="15"/>
  <c r="AB134" i="15"/>
  <c r="AB103" i="15"/>
  <c r="AB71" i="15"/>
  <c r="AB135" i="15"/>
  <c r="AB72" i="15"/>
  <c r="AB139" i="15"/>
  <c r="AB133" i="15"/>
  <c r="AB104" i="15"/>
  <c r="AB108" i="15"/>
  <c r="AA107" i="13" s="1"/>
  <c r="AB73" i="15"/>
  <c r="AB136" i="15"/>
  <c r="AB105" i="15"/>
  <c r="AB102" i="15"/>
  <c r="AA106" i="13" s="1"/>
  <c r="AB74" i="15"/>
  <c r="AB36" i="15"/>
  <c r="AB37" i="15"/>
  <c r="AB34" i="15"/>
  <c r="AB35" i="15"/>
  <c r="V161" i="13"/>
  <c r="V97" i="13"/>
  <c r="V154" i="13"/>
  <c r="V19" i="15"/>
  <c r="V32" i="15" s="1"/>
  <c r="X54" i="5"/>
  <c r="V175" i="13"/>
  <c r="V90" i="13"/>
  <c r="V168" i="13"/>
  <c r="V129" i="13"/>
  <c r="V111" i="13"/>
  <c r="V122" i="13"/>
  <c r="AD13" i="15"/>
  <c r="AC14" i="15"/>
  <c r="AA16" i="15"/>
  <c r="AB17" i="15"/>
  <c r="AA15" i="15"/>
  <c r="Z33" i="5"/>
  <c r="X184" i="4"/>
  <c r="X163" i="4"/>
  <c r="X147" i="4"/>
  <c r="X117" i="4"/>
  <c r="X80" i="4"/>
  <c r="X57" i="4"/>
  <c r="X103" i="4"/>
  <c r="X64" i="4"/>
  <c r="X43" i="4"/>
  <c r="X32" i="4"/>
  <c r="X110" i="4"/>
  <c r="X87" i="4"/>
  <c r="X50" i="4"/>
  <c r="X154" i="4"/>
  <c r="X124" i="4"/>
  <c r="X177" i="4"/>
  <c r="X94" i="4"/>
  <c r="X140" i="4"/>
  <c r="X133" i="4"/>
  <c r="X73" i="4"/>
  <c r="X170" i="4"/>
  <c r="Y14" i="5"/>
  <c r="Y7" i="5"/>
  <c r="Y21" i="5"/>
  <c r="Y107" i="5"/>
  <c r="Y93" i="5"/>
  <c r="Y77" i="5"/>
  <c r="Y46" i="5"/>
  <c r="Y62" i="5" s="1"/>
  <c r="Y114" i="5"/>
  <c r="Y86" i="5"/>
  <c r="Y38" i="5"/>
  <c r="Y100" i="5"/>
  <c r="Y70" i="5"/>
  <c r="Z32" i="5"/>
  <c r="AA34" i="5"/>
  <c r="B1" i="15"/>
  <c r="Z31" i="4" l="1"/>
  <c r="Z123" i="13"/>
  <c r="AA113" i="13"/>
  <c r="AA91" i="13"/>
  <c r="AA116" i="13"/>
  <c r="AA95" i="13"/>
  <c r="AA115" i="13"/>
  <c r="AA114" i="13"/>
  <c r="AA93" i="13"/>
  <c r="AA99" i="13"/>
  <c r="AA112" i="13"/>
  <c r="AA102" i="13"/>
  <c r="AA101" i="13"/>
  <c r="AA94" i="13"/>
  <c r="AA100" i="13"/>
  <c r="AA92" i="13"/>
  <c r="AA98" i="13"/>
  <c r="V94" i="15"/>
  <c r="AC129" i="15"/>
  <c r="AC99" i="15"/>
  <c r="AC66" i="15"/>
  <c r="AC68" i="15"/>
  <c r="AC65" i="15"/>
  <c r="AC154" i="15"/>
  <c r="AC153" i="15"/>
  <c r="AC151" i="15"/>
  <c r="AC122" i="15"/>
  <c r="AC152" i="15"/>
  <c r="AC123" i="15"/>
  <c r="AC121" i="15"/>
  <c r="AC92" i="15"/>
  <c r="AC90" i="15"/>
  <c r="AC120" i="15"/>
  <c r="AB109" i="13" s="1"/>
  <c r="AC91" i="15"/>
  <c r="AC89" i="15"/>
  <c r="AC61" i="15"/>
  <c r="AC59" i="15"/>
  <c r="AC83" i="15"/>
  <c r="AC60" i="15"/>
  <c r="AC58" i="15"/>
  <c r="AC85" i="15"/>
  <c r="AC55" i="15"/>
  <c r="AC53" i="15"/>
  <c r="AC48" i="15"/>
  <c r="AC46" i="15"/>
  <c r="AC43" i="15"/>
  <c r="AC41" i="15"/>
  <c r="AC54" i="15"/>
  <c r="AC52" i="15"/>
  <c r="AC49" i="15"/>
  <c r="AC47" i="15"/>
  <c r="AC42" i="15"/>
  <c r="AC40" i="15"/>
  <c r="AC145" i="15"/>
  <c r="AC114" i="15"/>
  <c r="AB108" i="13" s="1"/>
  <c r="AC117" i="15"/>
  <c r="AC115" i="15"/>
  <c r="AC86" i="15"/>
  <c r="AC148" i="15"/>
  <c r="AC147" i="15"/>
  <c r="AC146" i="15"/>
  <c r="AC116" i="15"/>
  <c r="AC142" i="15"/>
  <c r="AC77" i="15"/>
  <c r="AC80" i="15"/>
  <c r="AC110" i="15"/>
  <c r="AC109" i="15"/>
  <c r="AC141" i="15"/>
  <c r="AC79" i="15"/>
  <c r="AC84" i="15"/>
  <c r="AC78" i="15"/>
  <c r="AC108" i="15"/>
  <c r="AB107" i="13" s="1"/>
  <c r="AC111" i="15"/>
  <c r="AC140" i="15"/>
  <c r="AC73" i="15"/>
  <c r="AC139" i="15"/>
  <c r="AC71" i="15"/>
  <c r="AC136" i="15"/>
  <c r="AC133" i="15"/>
  <c r="AC104" i="15"/>
  <c r="AC72" i="15"/>
  <c r="AC135" i="15"/>
  <c r="AC105" i="15"/>
  <c r="AC102" i="15"/>
  <c r="AB106" i="13" s="1"/>
  <c r="AC134" i="15"/>
  <c r="AC103" i="15"/>
  <c r="AC74" i="15"/>
  <c r="AC36" i="15"/>
  <c r="AC34" i="15"/>
  <c r="AC37" i="15"/>
  <c r="AC35" i="15"/>
  <c r="AC130" i="15"/>
  <c r="AC98" i="15"/>
  <c r="AC67" i="15"/>
  <c r="AC128" i="15"/>
  <c r="AC127" i="15"/>
  <c r="AC96" i="15"/>
  <c r="AB105" i="13" s="1"/>
  <c r="AC97" i="15"/>
  <c r="V63" i="15"/>
  <c r="V125" i="15"/>
  <c r="W19" i="15"/>
  <c r="W32" i="15" s="1"/>
  <c r="Y54" i="5"/>
  <c r="W154" i="13"/>
  <c r="W168" i="13"/>
  <c r="W104" i="13"/>
  <c r="W129" i="13"/>
  <c r="W90" i="13"/>
  <c r="W122" i="13"/>
  <c r="W97" i="13"/>
  <c r="W161" i="13"/>
  <c r="W136" i="13"/>
  <c r="W143" i="13"/>
  <c r="W111" i="13"/>
  <c r="W175" i="13"/>
  <c r="AB16" i="15"/>
  <c r="AC17" i="15"/>
  <c r="AB15" i="15"/>
  <c r="AD14" i="15"/>
  <c r="AE13" i="15"/>
  <c r="AA33" i="5"/>
  <c r="Y184" i="4"/>
  <c r="Y170" i="4"/>
  <c r="Y154" i="4"/>
  <c r="Y147" i="4"/>
  <c r="Y133" i="4"/>
  <c r="Y177" i="4"/>
  <c r="Y124" i="4"/>
  <c r="Y110" i="4"/>
  <c r="Y94" i="4"/>
  <c r="Y80" i="4"/>
  <c r="Y64" i="4"/>
  <c r="Y50" i="4"/>
  <c r="Y163" i="4"/>
  <c r="Y103" i="4"/>
  <c r="Y43" i="4"/>
  <c r="Y32" i="4"/>
  <c r="Y87" i="4"/>
  <c r="Y140" i="4"/>
  <c r="Y73" i="4"/>
  <c r="Y57" i="4"/>
  <c r="Y117" i="4"/>
  <c r="Z14" i="5"/>
  <c r="Z7" i="5"/>
  <c r="Z21" i="5"/>
  <c r="Z114" i="5"/>
  <c r="Z100" i="5"/>
  <c r="Z86" i="5"/>
  <c r="Z46" i="5"/>
  <c r="Z62" i="5" s="1"/>
  <c r="Z38" i="5"/>
  <c r="Z93" i="5"/>
  <c r="Z70" i="5"/>
  <c r="Z107" i="5"/>
  <c r="Z77" i="5"/>
  <c r="AB34" i="5"/>
  <c r="AA32" i="5"/>
  <c r="AA31" i="4" l="1"/>
  <c r="AA123" i="13"/>
  <c r="W125" i="15"/>
  <c r="W63" i="15"/>
  <c r="AB113" i="13"/>
  <c r="AD68" i="15"/>
  <c r="AD66" i="15"/>
  <c r="AD96" i="15"/>
  <c r="AC105" i="13" s="1"/>
  <c r="AD65" i="15"/>
  <c r="AD127" i="15"/>
  <c r="AD97" i="15"/>
  <c r="AD128" i="15"/>
  <c r="AB92" i="13"/>
  <c r="AB116" i="13"/>
  <c r="AB95" i="13"/>
  <c r="AB115" i="13"/>
  <c r="AB101" i="13"/>
  <c r="AB94" i="13"/>
  <c r="AB114" i="13"/>
  <c r="AB91" i="13"/>
  <c r="AB102" i="13"/>
  <c r="AB100" i="13"/>
  <c r="AB93" i="13"/>
  <c r="AB99" i="13"/>
  <c r="AB98" i="13"/>
  <c r="W94" i="15"/>
  <c r="AB112" i="13"/>
  <c r="AD154" i="15"/>
  <c r="AD153" i="15"/>
  <c r="AD151" i="15"/>
  <c r="AD122" i="15"/>
  <c r="AD152" i="15"/>
  <c r="AD123" i="15"/>
  <c r="AD121" i="15"/>
  <c r="AD92" i="15"/>
  <c r="AD90" i="15"/>
  <c r="AD120" i="15"/>
  <c r="AC109" i="13" s="1"/>
  <c r="AD114" i="15"/>
  <c r="AC108" i="13" s="1"/>
  <c r="AD91" i="15"/>
  <c r="AD89" i="15"/>
  <c r="AD83" i="15"/>
  <c r="AD60" i="15"/>
  <c r="AD58" i="15"/>
  <c r="AD85" i="15"/>
  <c r="AD61" i="15"/>
  <c r="AD59" i="15"/>
  <c r="AD55" i="15"/>
  <c r="AD53" i="15"/>
  <c r="AD48" i="15"/>
  <c r="AD46" i="15"/>
  <c r="AD43" i="15"/>
  <c r="AD41" i="15"/>
  <c r="AD54" i="15"/>
  <c r="AD52" i="15"/>
  <c r="AD49" i="15"/>
  <c r="AD47" i="15"/>
  <c r="AD42" i="15"/>
  <c r="AD40" i="15"/>
  <c r="AD146" i="15"/>
  <c r="AD86" i="15"/>
  <c r="AD111" i="15"/>
  <c r="AD108" i="15"/>
  <c r="AC107" i="13" s="1"/>
  <c r="AD139" i="15"/>
  <c r="AD79" i="15"/>
  <c r="AD147" i="15"/>
  <c r="AD117" i="15"/>
  <c r="AD84" i="15"/>
  <c r="AD142" i="15"/>
  <c r="AD77" i="15"/>
  <c r="AD110" i="15"/>
  <c r="AD141" i="15"/>
  <c r="AD140" i="15"/>
  <c r="AD80" i="15"/>
  <c r="AD116" i="15"/>
  <c r="AD148" i="15"/>
  <c r="AD145" i="15"/>
  <c r="AD115" i="15"/>
  <c r="AD109" i="15"/>
  <c r="AD136" i="15"/>
  <c r="AD133" i="15"/>
  <c r="AD72" i="15"/>
  <c r="AD73" i="15"/>
  <c r="AD78" i="15"/>
  <c r="AD134" i="15"/>
  <c r="AD105" i="15"/>
  <c r="AD104" i="15"/>
  <c r="AD103" i="15"/>
  <c r="AD74" i="15"/>
  <c r="AD71" i="15"/>
  <c r="AD135" i="15"/>
  <c r="AD102" i="15"/>
  <c r="AC106" i="13" s="1"/>
  <c r="AD35" i="15"/>
  <c r="AD34" i="15"/>
  <c r="AD36" i="15"/>
  <c r="AD37" i="15"/>
  <c r="AD67" i="15"/>
  <c r="AD129" i="15"/>
  <c r="AD130" i="15"/>
  <c r="AD98" i="15"/>
  <c r="AD99" i="15"/>
  <c r="X19" i="15"/>
  <c r="X125" i="15" s="1"/>
  <c r="Z54" i="5"/>
  <c r="X143" i="13"/>
  <c r="X154" i="13"/>
  <c r="X129" i="13"/>
  <c r="X136" i="13"/>
  <c r="X97" i="13"/>
  <c r="X161" i="13"/>
  <c r="X90" i="13"/>
  <c r="X104" i="13"/>
  <c r="X175" i="13"/>
  <c r="X122" i="13"/>
  <c r="X111" i="13"/>
  <c r="AD17" i="15"/>
  <c r="AC15" i="15"/>
  <c r="AC16" i="15"/>
  <c r="AE14" i="15"/>
  <c r="AF13" i="15"/>
  <c r="X168" i="13"/>
  <c r="AB33" i="5"/>
  <c r="Z170" i="4"/>
  <c r="Z133" i="4"/>
  <c r="Z154" i="4"/>
  <c r="Z124" i="4"/>
  <c r="Z87" i="4"/>
  <c r="Z64" i="4"/>
  <c r="Z73" i="4"/>
  <c r="Z50" i="4"/>
  <c r="Z184" i="4"/>
  <c r="Z177" i="4"/>
  <c r="Z117" i="4"/>
  <c r="Z94" i="4"/>
  <c r="Z57" i="4"/>
  <c r="Z147" i="4"/>
  <c r="Z140" i="4"/>
  <c r="Z110" i="4"/>
  <c r="Z32" i="4"/>
  <c r="Z163" i="4"/>
  <c r="Z103" i="4"/>
  <c r="Z80" i="4"/>
  <c r="Z43" i="4"/>
  <c r="D141" i="13"/>
  <c r="E141" i="13" s="1"/>
  <c r="F141" i="13" s="1"/>
  <c r="G141" i="13" s="1"/>
  <c r="H141" i="13" s="1"/>
  <c r="I141" i="13" s="1"/>
  <c r="J141" i="13" s="1"/>
  <c r="K141" i="13" s="1"/>
  <c r="L141" i="13" s="1"/>
  <c r="M141" i="13" s="1"/>
  <c r="N141" i="13" s="1"/>
  <c r="O141" i="13" s="1"/>
  <c r="P141" i="13" s="1"/>
  <c r="Q141" i="13" s="1"/>
  <c r="R141" i="13" s="1"/>
  <c r="S141" i="13" s="1"/>
  <c r="T141" i="13" s="1"/>
  <c r="U141" i="13" s="1"/>
  <c r="V141" i="13" s="1"/>
  <c r="W141" i="13" s="1"/>
  <c r="X141" i="13" s="1"/>
  <c r="Y141" i="13" s="1"/>
  <c r="Z141" i="13" s="1"/>
  <c r="AA141" i="13" s="1"/>
  <c r="AA7" i="5"/>
  <c r="AA21" i="5"/>
  <c r="AA14" i="5"/>
  <c r="AA114" i="5"/>
  <c r="AA100" i="5"/>
  <c r="AA86" i="5"/>
  <c r="AA70" i="5"/>
  <c r="AA93" i="5"/>
  <c r="AA107" i="5"/>
  <c r="AA77" i="5"/>
  <c r="AA46" i="5"/>
  <c r="AA62" i="5" s="1"/>
  <c r="AA38" i="5"/>
  <c r="AB32" i="5"/>
  <c r="AC34" i="5"/>
  <c r="D116" i="13"/>
  <c r="D148" i="13" s="1"/>
  <c r="E148" i="13" s="1"/>
  <c r="F148" i="13" s="1"/>
  <c r="G148" i="13" s="1"/>
  <c r="H148" i="13" s="1"/>
  <c r="I148" i="13" s="1"/>
  <c r="J148" i="13" s="1"/>
  <c r="K148" i="13" s="1"/>
  <c r="L148" i="13" s="1"/>
  <c r="M148" i="13" s="1"/>
  <c r="N148" i="13" s="1"/>
  <c r="O148" i="13" s="1"/>
  <c r="P148" i="13" s="1"/>
  <c r="Q148" i="13" s="1"/>
  <c r="R148" i="13" s="1"/>
  <c r="S148" i="13" s="1"/>
  <c r="T148" i="13" s="1"/>
  <c r="U148" i="13" s="1"/>
  <c r="V148" i="13" s="1"/>
  <c r="W148" i="13" s="1"/>
  <c r="X148" i="13" s="1"/>
  <c r="Y148" i="13" s="1"/>
  <c r="Z148" i="13" s="1"/>
  <c r="AA148" i="13" s="1"/>
  <c r="B125" i="15"/>
  <c r="Y168" i="13" l="1"/>
  <c r="AB31" i="4"/>
  <c r="AB123" i="13"/>
  <c r="AC98" i="13"/>
  <c r="AE129" i="15"/>
  <c r="AE127" i="15"/>
  <c r="AB148" i="13"/>
  <c r="AB141" i="13"/>
  <c r="AC116" i="13"/>
  <c r="AC102" i="13"/>
  <c r="AC115" i="13"/>
  <c r="AC114" i="13"/>
  <c r="AC113" i="13"/>
  <c r="AC112" i="13"/>
  <c r="AC95" i="13"/>
  <c r="AC101" i="13"/>
  <c r="AC94" i="13"/>
  <c r="AC100" i="13"/>
  <c r="AC93" i="13"/>
  <c r="AC99" i="13"/>
  <c r="AC92" i="13"/>
  <c r="AC91" i="13"/>
  <c r="X63" i="15"/>
  <c r="AE128" i="15"/>
  <c r="AE99" i="15"/>
  <c r="AE97" i="15"/>
  <c r="AE66" i="15"/>
  <c r="AE65" i="15"/>
  <c r="AE68" i="15"/>
  <c r="AE152" i="15"/>
  <c r="AE123" i="15"/>
  <c r="AE154" i="15"/>
  <c r="AE153" i="15"/>
  <c r="AE151" i="15"/>
  <c r="AE122" i="15"/>
  <c r="AE120" i="15"/>
  <c r="AE91" i="15"/>
  <c r="AE89" i="15"/>
  <c r="AE121" i="15"/>
  <c r="AE92" i="15"/>
  <c r="AE90" i="15"/>
  <c r="AE86" i="15"/>
  <c r="AE60" i="15"/>
  <c r="AE58" i="15"/>
  <c r="AE61" i="15"/>
  <c r="AE59" i="15"/>
  <c r="AE54" i="15"/>
  <c r="AE52" i="15"/>
  <c r="AE49" i="15"/>
  <c r="AE47" i="15"/>
  <c r="AE42" i="15"/>
  <c r="AE40" i="15"/>
  <c r="AE55" i="15"/>
  <c r="AE53" i="15"/>
  <c r="AE48" i="15"/>
  <c r="AE46" i="15"/>
  <c r="AE43" i="15"/>
  <c r="AE41" i="15"/>
  <c r="AE147" i="15"/>
  <c r="AE146" i="15"/>
  <c r="AE85" i="15"/>
  <c r="AE117" i="15"/>
  <c r="AE148" i="15"/>
  <c r="AE145" i="15"/>
  <c r="AE115" i="15"/>
  <c r="AE114" i="15"/>
  <c r="AE110" i="15"/>
  <c r="AE141" i="15"/>
  <c r="AE78" i="15"/>
  <c r="AE116" i="15"/>
  <c r="AE111" i="15"/>
  <c r="AE108" i="15"/>
  <c r="AE142" i="15"/>
  <c r="AE139" i="15"/>
  <c r="AE77" i="15"/>
  <c r="AE83" i="15"/>
  <c r="AE109" i="15"/>
  <c r="AE140" i="15"/>
  <c r="AE84" i="15"/>
  <c r="AE80" i="15"/>
  <c r="AE134" i="15"/>
  <c r="AE102" i="15"/>
  <c r="AE135" i="15"/>
  <c r="AE74" i="15"/>
  <c r="AE79" i="15"/>
  <c r="AE133" i="15"/>
  <c r="AE105" i="15"/>
  <c r="AE136" i="15"/>
  <c r="AE104" i="15"/>
  <c r="AE103" i="15"/>
  <c r="AE72" i="15"/>
  <c r="AE73" i="15"/>
  <c r="AE71" i="15"/>
  <c r="AE37" i="15"/>
  <c r="AE35" i="15"/>
  <c r="AE34" i="15"/>
  <c r="AE36" i="15"/>
  <c r="AE96" i="15"/>
  <c r="AE130" i="15"/>
  <c r="AE98" i="15"/>
  <c r="AE67" i="15"/>
  <c r="X32" i="15"/>
  <c r="X94" i="15"/>
  <c r="Y19" i="15"/>
  <c r="Y125" i="15" s="1"/>
  <c r="AA54" i="5"/>
  <c r="Y111" i="13"/>
  <c r="Y161" i="13"/>
  <c r="Y90" i="13"/>
  <c r="Y154" i="13"/>
  <c r="Y175" i="13"/>
  <c r="Y136" i="13"/>
  <c r="Y104" i="13"/>
  <c r="Y143" i="13"/>
  <c r="Y97" i="13"/>
  <c r="Y122" i="13"/>
  <c r="Y129" i="13"/>
  <c r="AF14" i="15"/>
  <c r="AG13" i="15"/>
  <c r="AD15" i="15"/>
  <c r="AD16" i="15"/>
  <c r="AE17" i="15"/>
  <c r="AC33" i="5"/>
  <c r="AA177" i="4"/>
  <c r="AA163" i="4"/>
  <c r="AA147" i="4"/>
  <c r="AA154" i="4"/>
  <c r="AA140" i="4"/>
  <c r="AA170" i="4"/>
  <c r="AA117" i="4"/>
  <c r="AA103" i="4"/>
  <c r="AA87" i="4"/>
  <c r="AA73" i="4"/>
  <c r="AA57" i="4"/>
  <c r="AA43" i="4"/>
  <c r="AA110" i="4"/>
  <c r="AA50" i="4"/>
  <c r="AA94" i="4"/>
  <c r="AA133" i="4"/>
  <c r="AA80" i="4"/>
  <c r="AA184" i="4"/>
  <c r="AA124" i="4"/>
  <c r="AA64" i="4"/>
  <c r="AA32" i="4"/>
  <c r="D101" i="13"/>
  <c r="D133" i="13" s="1"/>
  <c r="E133" i="13" s="1"/>
  <c r="F133" i="13" s="1"/>
  <c r="G133" i="13" s="1"/>
  <c r="H133" i="13" s="1"/>
  <c r="I133" i="13" s="1"/>
  <c r="J133" i="13" s="1"/>
  <c r="K133" i="13" s="1"/>
  <c r="L133" i="13" s="1"/>
  <c r="M133" i="13" s="1"/>
  <c r="N133" i="13" s="1"/>
  <c r="O133" i="13" s="1"/>
  <c r="P133" i="13" s="1"/>
  <c r="Q133" i="13" s="1"/>
  <c r="R133" i="13" s="1"/>
  <c r="S133" i="13" s="1"/>
  <c r="T133" i="13" s="1"/>
  <c r="U133" i="13" s="1"/>
  <c r="V133" i="13" s="1"/>
  <c r="W133" i="13" s="1"/>
  <c r="X133" i="13" s="1"/>
  <c r="Y133" i="13" s="1"/>
  <c r="Z133" i="13" s="1"/>
  <c r="AA133" i="13" s="1"/>
  <c r="AB133" i="13" s="1"/>
  <c r="D113" i="13"/>
  <c r="D145" i="13" s="1"/>
  <c r="E145" i="13" s="1"/>
  <c r="F145" i="13" s="1"/>
  <c r="G145" i="13" s="1"/>
  <c r="H145" i="13" s="1"/>
  <c r="I145" i="13" s="1"/>
  <c r="J145" i="13" s="1"/>
  <c r="K145" i="13" s="1"/>
  <c r="L145" i="13" s="1"/>
  <c r="M145" i="13" s="1"/>
  <c r="N145" i="13" s="1"/>
  <c r="O145" i="13" s="1"/>
  <c r="P145" i="13" s="1"/>
  <c r="Q145" i="13" s="1"/>
  <c r="R145" i="13" s="1"/>
  <c r="S145" i="13" s="1"/>
  <c r="T145" i="13" s="1"/>
  <c r="U145" i="13" s="1"/>
  <c r="V145" i="13" s="1"/>
  <c r="W145" i="13" s="1"/>
  <c r="X145" i="13" s="1"/>
  <c r="Y145" i="13" s="1"/>
  <c r="Z145" i="13" s="1"/>
  <c r="AA145" i="13" s="1"/>
  <c r="AB145" i="13" s="1"/>
  <c r="D114" i="13"/>
  <c r="D146" i="13" s="1"/>
  <c r="E146" i="13" s="1"/>
  <c r="F146" i="13" s="1"/>
  <c r="G146" i="13" s="1"/>
  <c r="H146" i="13" s="1"/>
  <c r="I146" i="13" s="1"/>
  <c r="J146" i="13" s="1"/>
  <c r="K146" i="13" s="1"/>
  <c r="L146" i="13" s="1"/>
  <c r="M146" i="13" s="1"/>
  <c r="N146" i="13" s="1"/>
  <c r="O146" i="13" s="1"/>
  <c r="P146" i="13" s="1"/>
  <c r="Q146" i="13" s="1"/>
  <c r="R146" i="13" s="1"/>
  <c r="S146" i="13" s="1"/>
  <c r="T146" i="13" s="1"/>
  <c r="U146" i="13" s="1"/>
  <c r="V146" i="13" s="1"/>
  <c r="W146" i="13" s="1"/>
  <c r="X146" i="13" s="1"/>
  <c r="Y146" i="13" s="1"/>
  <c r="Z146" i="13" s="1"/>
  <c r="AA146" i="13" s="1"/>
  <c r="AB146" i="13" s="1"/>
  <c r="D102" i="13"/>
  <c r="D134" i="13" s="1"/>
  <c r="E134" i="13" s="1"/>
  <c r="F134" i="13" s="1"/>
  <c r="G134" i="13" s="1"/>
  <c r="H134" i="13" s="1"/>
  <c r="I134" i="13" s="1"/>
  <c r="J134" i="13" s="1"/>
  <c r="K134" i="13" s="1"/>
  <c r="L134" i="13" s="1"/>
  <c r="M134" i="13" s="1"/>
  <c r="N134" i="13" s="1"/>
  <c r="O134" i="13" s="1"/>
  <c r="P134" i="13" s="1"/>
  <c r="Q134" i="13" s="1"/>
  <c r="R134" i="13" s="1"/>
  <c r="S134" i="13" s="1"/>
  <c r="T134" i="13" s="1"/>
  <c r="U134" i="13" s="1"/>
  <c r="V134" i="13" s="1"/>
  <c r="W134" i="13" s="1"/>
  <c r="X134" i="13" s="1"/>
  <c r="Y134" i="13" s="1"/>
  <c r="Z134" i="13" s="1"/>
  <c r="AA134" i="13" s="1"/>
  <c r="AB134" i="13" s="1"/>
  <c r="D112" i="13"/>
  <c r="D144" i="13" s="1"/>
  <c r="E144" i="13" s="1"/>
  <c r="F144" i="13" s="1"/>
  <c r="G144" i="13" s="1"/>
  <c r="H144" i="13" s="1"/>
  <c r="I144" i="13" s="1"/>
  <c r="J144" i="13" s="1"/>
  <c r="K144" i="13" s="1"/>
  <c r="L144" i="13" s="1"/>
  <c r="M144" i="13" s="1"/>
  <c r="N144" i="13" s="1"/>
  <c r="O144" i="13" s="1"/>
  <c r="P144" i="13" s="1"/>
  <c r="Q144" i="13" s="1"/>
  <c r="R144" i="13" s="1"/>
  <c r="S144" i="13" s="1"/>
  <c r="T144" i="13" s="1"/>
  <c r="U144" i="13" s="1"/>
  <c r="V144" i="13" s="1"/>
  <c r="W144" i="13" s="1"/>
  <c r="X144" i="13" s="1"/>
  <c r="Y144" i="13" s="1"/>
  <c r="Z144" i="13" s="1"/>
  <c r="AA144" i="13" s="1"/>
  <c r="AB144" i="13" s="1"/>
  <c r="D115" i="13"/>
  <c r="D147" i="13" s="1"/>
  <c r="E147" i="13" s="1"/>
  <c r="F147" i="13" s="1"/>
  <c r="G147" i="13" s="1"/>
  <c r="H147" i="13" s="1"/>
  <c r="I147" i="13" s="1"/>
  <c r="J147" i="13" s="1"/>
  <c r="K147" i="13" s="1"/>
  <c r="L147" i="13" s="1"/>
  <c r="M147" i="13" s="1"/>
  <c r="N147" i="13" s="1"/>
  <c r="O147" i="13" s="1"/>
  <c r="P147" i="13" s="1"/>
  <c r="Q147" i="13" s="1"/>
  <c r="R147" i="13" s="1"/>
  <c r="S147" i="13" s="1"/>
  <c r="T147" i="13" s="1"/>
  <c r="U147" i="13" s="1"/>
  <c r="V147" i="13" s="1"/>
  <c r="W147" i="13" s="1"/>
  <c r="X147" i="13" s="1"/>
  <c r="Y147" i="13" s="1"/>
  <c r="Z147" i="13" s="1"/>
  <c r="AA147" i="13" s="1"/>
  <c r="AB147" i="13" s="1"/>
  <c r="D100" i="13"/>
  <c r="D132" i="13" s="1"/>
  <c r="E132" i="13" s="1"/>
  <c r="F132" i="13" s="1"/>
  <c r="G132" i="13" s="1"/>
  <c r="H132" i="13" s="1"/>
  <c r="I132" i="13" s="1"/>
  <c r="J132" i="13" s="1"/>
  <c r="K132" i="13" s="1"/>
  <c r="L132" i="13" s="1"/>
  <c r="M132" i="13" s="1"/>
  <c r="N132" i="13" s="1"/>
  <c r="O132" i="13" s="1"/>
  <c r="P132" i="13" s="1"/>
  <c r="Q132" i="13" s="1"/>
  <c r="R132" i="13" s="1"/>
  <c r="S132" i="13" s="1"/>
  <c r="T132" i="13" s="1"/>
  <c r="U132" i="13" s="1"/>
  <c r="V132" i="13" s="1"/>
  <c r="W132" i="13" s="1"/>
  <c r="X132" i="13" s="1"/>
  <c r="Y132" i="13" s="1"/>
  <c r="Z132" i="13" s="1"/>
  <c r="AA132" i="13" s="1"/>
  <c r="AB132" i="13" s="1"/>
  <c r="AB7" i="5"/>
  <c r="AB21" i="5"/>
  <c r="AB14" i="5"/>
  <c r="AB38" i="5"/>
  <c r="AB107" i="5"/>
  <c r="AB93" i="5"/>
  <c r="AB70" i="5"/>
  <c r="AB100" i="5"/>
  <c r="AB77" i="5"/>
  <c r="AB46" i="5"/>
  <c r="AB62" i="5" s="1"/>
  <c r="AB114" i="5"/>
  <c r="AB86" i="5"/>
  <c r="AC32" i="5"/>
  <c r="AD34" i="5"/>
  <c r="B94" i="15"/>
  <c r="Z143" i="13" l="1"/>
  <c r="AC31" i="4"/>
  <c r="AC123" i="13"/>
  <c r="AF130" i="15"/>
  <c r="AF127" i="15"/>
  <c r="AF65" i="15"/>
  <c r="AF129" i="15"/>
  <c r="AC144" i="13"/>
  <c r="AF98" i="15"/>
  <c r="AF97" i="15"/>
  <c r="AC148" i="13"/>
  <c r="AC145" i="13"/>
  <c r="AC141" i="13"/>
  <c r="AC132" i="13"/>
  <c r="AC147" i="13"/>
  <c r="AC146" i="13"/>
  <c r="AC133" i="13"/>
  <c r="AC134" i="13"/>
  <c r="Y63" i="15"/>
  <c r="Y32" i="15"/>
  <c r="Y94" i="15"/>
  <c r="AF128" i="15"/>
  <c r="AF96" i="15"/>
  <c r="AF66" i="15"/>
  <c r="AF152" i="15"/>
  <c r="AF123" i="15"/>
  <c r="AF154" i="15"/>
  <c r="AF153" i="15"/>
  <c r="AF151" i="15"/>
  <c r="AF122" i="15"/>
  <c r="AF120" i="15"/>
  <c r="AF117" i="15"/>
  <c r="AF91" i="15"/>
  <c r="AF89" i="15"/>
  <c r="AF121" i="15"/>
  <c r="AF92" i="15"/>
  <c r="AF90" i="15"/>
  <c r="AF61" i="15"/>
  <c r="AF59" i="15"/>
  <c r="AF60" i="15"/>
  <c r="AF58" i="15"/>
  <c r="AF54" i="15"/>
  <c r="AF52" i="15"/>
  <c r="AF49" i="15"/>
  <c r="AF47" i="15"/>
  <c r="AF42" i="15"/>
  <c r="AF40" i="15"/>
  <c r="AF55" i="15"/>
  <c r="AF53" i="15"/>
  <c r="AF48" i="15"/>
  <c r="AF46" i="15"/>
  <c r="AF43" i="15"/>
  <c r="AF41" i="15"/>
  <c r="AF147" i="15"/>
  <c r="AF115" i="15"/>
  <c r="AF146" i="15"/>
  <c r="AF116" i="15"/>
  <c r="AF145" i="15"/>
  <c r="AF86" i="15"/>
  <c r="AF83" i="15"/>
  <c r="AF84" i="15"/>
  <c r="AF148" i="15"/>
  <c r="AF85" i="15"/>
  <c r="AF78" i="15"/>
  <c r="AF111" i="15"/>
  <c r="AF141" i="15"/>
  <c r="AF110" i="15"/>
  <c r="AF109" i="15"/>
  <c r="AF142" i="15"/>
  <c r="AF140" i="15"/>
  <c r="AF77" i="15"/>
  <c r="AF108" i="15"/>
  <c r="AF139" i="15"/>
  <c r="AF114" i="15"/>
  <c r="AF80" i="15"/>
  <c r="AF73" i="15"/>
  <c r="AF135" i="15"/>
  <c r="AF74" i="15"/>
  <c r="AF133" i="15"/>
  <c r="AF104" i="15"/>
  <c r="AF71" i="15"/>
  <c r="AF136" i="15"/>
  <c r="AF105" i="15"/>
  <c r="AF102" i="15"/>
  <c r="AF72" i="15"/>
  <c r="AF79" i="15"/>
  <c r="AF134" i="15"/>
  <c r="AF103" i="15"/>
  <c r="AF37" i="15"/>
  <c r="AF35" i="15"/>
  <c r="AF36" i="15"/>
  <c r="AF34" i="15"/>
  <c r="AF99" i="15"/>
  <c r="AF67" i="15"/>
  <c r="AF68" i="15"/>
  <c r="Z19" i="15"/>
  <c r="Z125" i="15" s="1"/>
  <c r="AB54" i="5"/>
  <c r="Z104" i="13"/>
  <c r="Z154" i="13"/>
  <c r="Z136" i="13"/>
  <c r="Z161" i="13"/>
  <c r="Z97" i="13"/>
  <c r="Z168" i="13"/>
  <c r="Z90" i="13"/>
  <c r="Z111" i="13"/>
  <c r="Z129" i="13"/>
  <c r="Z122" i="13"/>
  <c r="Z175" i="13"/>
  <c r="AH13" i="15"/>
  <c r="AH14" i="15" s="1"/>
  <c r="AG14" i="15"/>
  <c r="AE16" i="15"/>
  <c r="AF17" i="15"/>
  <c r="AE15" i="15"/>
  <c r="AD33" i="5"/>
  <c r="AB177" i="4"/>
  <c r="AB163" i="4"/>
  <c r="AB140" i="4"/>
  <c r="AB184" i="4"/>
  <c r="AB147" i="4"/>
  <c r="AB94" i="4"/>
  <c r="AB73" i="4"/>
  <c r="AB80" i="4"/>
  <c r="AB57" i="4"/>
  <c r="AB32" i="4"/>
  <c r="AB170" i="4"/>
  <c r="AB124" i="4"/>
  <c r="AB103" i="4"/>
  <c r="AB64" i="4"/>
  <c r="AB43" i="4"/>
  <c r="AB133" i="4"/>
  <c r="AB117" i="4"/>
  <c r="AB110" i="4"/>
  <c r="AB154" i="4"/>
  <c r="AB87" i="4"/>
  <c r="AB50" i="4"/>
  <c r="D139" i="13"/>
  <c r="E139" i="13" s="1"/>
  <c r="F139" i="13" s="1"/>
  <c r="G139" i="13" s="1"/>
  <c r="H139" i="13" s="1"/>
  <c r="I139" i="13" s="1"/>
  <c r="J139" i="13" s="1"/>
  <c r="K139" i="13" s="1"/>
  <c r="L139" i="13" s="1"/>
  <c r="M139" i="13" s="1"/>
  <c r="N139" i="13" s="1"/>
  <c r="O139" i="13" s="1"/>
  <c r="P139" i="13" s="1"/>
  <c r="Q139" i="13" s="1"/>
  <c r="R139" i="13" s="1"/>
  <c r="S139" i="13" s="1"/>
  <c r="T139" i="13" s="1"/>
  <c r="U139" i="13" s="1"/>
  <c r="V139" i="13" s="1"/>
  <c r="W139" i="13" s="1"/>
  <c r="X139" i="13" s="1"/>
  <c r="Y139" i="13" s="1"/>
  <c r="Z139" i="13" s="1"/>
  <c r="AA139" i="13" s="1"/>
  <c r="AB139" i="13" s="1"/>
  <c r="AC139" i="13" s="1"/>
  <c r="D138" i="13"/>
  <c r="E138" i="13" s="1"/>
  <c r="F138" i="13" s="1"/>
  <c r="G138" i="13" s="1"/>
  <c r="H138" i="13" s="1"/>
  <c r="I138" i="13" s="1"/>
  <c r="J138" i="13" s="1"/>
  <c r="K138" i="13" s="1"/>
  <c r="L138" i="13" s="1"/>
  <c r="M138" i="13" s="1"/>
  <c r="N138" i="13" s="1"/>
  <c r="O138" i="13" s="1"/>
  <c r="P138" i="13" s="1"/>
  <c r="Q138" i="13" s="1"/>
  <c r="R138" i="13" s="1"/>
  <c r="S138" i="13" s="1"/>
  <c r="T138" i="13" s="1"/>
  <c r="U138" i="13" s="1"/>
  <c r="V138" i="13" s="1"/>
  <c r="W138" i="13" s="1"/>
  <c r="X138" i="13" s="1"/>
  <c r="Y138" i="13" s="1"/>
  <c r="Z138" i="13" s="1"/>
  <c r="AA138" i="13" s="1"/>
  <c r="AB138" i="13" s="1"/>
  <c r="AC138" i="13" s="1"/>
  <c r="D140" i="13"/>
  <c r="E140" i="13" s="1"/>
  <c r="F140" i="13" s="1"/>
  <c r="G140" i="13" s="1"/>
  <c r="H140" i="13" s="1"/>
  <c r="I140" i="13" s="1"/>
  <c r="J140" i="13" s="1"/>
  <c r="K140" i="13" s="1"/>
  <c r="L140" i="13" s="1"/>
  <c r="M140" i="13" s="1"/>
  <c r="N140" i="13" s="1"/>
  <c r="O140" i="13" s="1"/>
  <c r="P140" i="13" s="1"/>
  <c r="Q140" i="13" s="1"/>
  <c r="R140" i="13" s="1"/>
  <c r="S140" i="13" s="1"/>
  <c r="T140" i="13" s="1"/>
  <c r="U140" i="13" s="1"/>
  <c r="V140" i="13" s="1"/>
  <c r="W140" i="13" s="1"/>
  <c r="X140" i="13" s="1"/>
  <c r="Y140" i="13" s="1"/>
  <c r="Z140" i="13" s="1"/>
  <c r="AA140" i="13" s="1"/>
  <c r="AB140" i="13" s="1"/>
  <c r="AC140" i="13" s="1"/>
  <c r="D137" i="13"/>
  <c r="E137" i="13" s="1"/>
  <c r="F137" i="13" s="1"/>
  <c r="G137" i="13" s="1"/>
  <c r="H137" i="13" s="1"/>
  <c r="I137" i="13" s="1"/>
  <c r="J137" i="13" s="1"/>
  <c r="K137" i="13" s="1"/>
  <c r="L137" i="13" s="1"/>
  <c r="M137" i="13" s="1"/>
  <c r="N137" i="13" s="1"/>
  <c r="O137" i="13" s="1"/>
  <c r="P137" i="13" s="1"/>
  <c r="Q137" i="13" s="1"/>
  <c r="R137" i="13" s="1"/>
  <c r="S137" i="13" s="1"/>
  <c r="T137" i="13" s="1"/>
  <c r="U137" i="13" s="1"/>
  <c r="V137" i="13" s="1"/>
  <c r="W137" i="13" s="1"/>
  <c r="X137" i="13" s="1"/>
  <c r="Y137" i="13" s="1"/>
  <c r="Z137" i="13" s="1"/>
  <c r="AA137" i="13" s="1"/>
  <c r="AB137" i="13" s="1"/>
  <c r="AC137" i="13" s="1"/>
  <c r="AC14" i="5"/>
  <c r="AC7" i="5"/>
  <c r="AC21" i="5"/>
  <c r="AC107" i="5"/>
  <c r="AC93" i="5"/>
  <c r="AC77" i="5"/>
  <c r="AC46" i="5"/>
  <c r="AC62" i="5" s="1"/>
  <c r="AC100" i="5"/>
  <c r="AC114" i="5"/>
  <c r="AC86" i="5"/>
  <c r="AC38" i="5"/>
  <c r="AC70" i="5"/>
  <c r="AD32" i="5"/>
  <c r="AE34" i="5"/>
  <c r="B63" i="15"/>
  <c r="B32" i="15"/>
  <c r="B24" i="15"/>
  <c r="B23" i="15"/>
  <c r="B22" i="15"/>
  <c r="B21" i="15"/>
  <c r="B76" i="15"/>
  <c r="B107" i="15" s="1"/>
  <c r="B138" i="15" s="1"/>
  <c r="B26" i="15"/>
  <c r="B57" i="15"/>
  <c r="B88" i="15" s="1"/>
  <c r="B119" i="15" s="1"/>
  <c r="B150" i="15" s="1"/>
  <c r="B51" i="15"/>
  <c r="B82" i="15" s="1"/>
  <c r="B113" i="15" s="1"/>
  <c r="B144" i="15" s="1"/>
  <c r="B39" i="15"/>
  <c r="B70" i="15" s="1"/>
  <c r="B101" i="15" s="1"/>
  <c r="B132" i="15" s="1"/>
  <c r="B33" i="15"/>
  <c r="AA129" i="13" l="1"/>
  <c r="AD31" i="4"/>
  <c r="AH35" i="15"/>
  <c r="AG68" i="15"/>
  <c r="AG99" i="15"/>
  <c r="AG130" i="15"/>
  <c r="AG67" i="15"/>
  <c r="AG96" i="15"/>
  <c r="AG65" i="15"/>
  <c r="AG129" i="15"/>
  <c r="AG97" i="15"/>
  <c r="AG66" i="15"/>
  <c r="AG154" i="15"/>
  <c r="AG153" i="15"/>
  <c r="AG151" i="15"/>
  <c r="AG122" i="15"/>
  <c r="AG152" i="15"/>
  <c r="AG123" i="15"/>
  <c r="AG121" i="15"/>
  <c r="AG92" i="15"/>
  <c r="AG90" i="15"/>
  <c r="AG120" i="15"/>
  <c r="AG91" i="15"/>
  <c r="AG89" i="15"/>
  <c r="AG83" i="15"/>
  <c r="AG61" i="15"/>
  <c r="AG59" i="15"/>
  <c r="AG85" i="15"/>
  <c r="AG60" i="15"/>
  <c r="AG58" i="15"/>
  <c r="AG55" i="15"/>
  <c r="AG53" i="15"/>
  <c r="AG48" i="15"/>
  <c r="AG46" i="15"/>
  <c r="AG43" i="15"/>
  <c r="AG41" i="15"/>
  <c r="AG54" i="15"/>
  <c r="AG52" i="15"/>
  <c r="AG49" i="15"/>
  <c r="AG47" i="15"/>
  <c r="AG42" i="15"/>
  <c r="AG40" i="15"/>
  <c r="AG115" i="15"/>
  <c r="AG146" i="15"/>
  <c r="AG114" i="15"/>
  <c r="AG117" i="15"/>
  <c r="AG84" i="15"/>
  <c r="AG116" i="15"/>
  <c r="AG78" i="15"/>
  <c r="AG111" i="15"/>
  <c r="AG141" i="15"/>
  <c r="AG148" i="15"/>
  <c r="AG86" i="15"/>
  <c r="AG145" i="15"/>
  <c r="AG80" i="15"/>
  <c r="AG108" i="15"/>
  <c r="AG139" i="15"/>
  <c r="AG147" i="15"/>
  <c r="AG142" i="15"/>
  <c r="AG79" i="15"/>
  <c r="AG71" i="15"/>
  <c r="AG109" i="15"/>
  <c r="AG140" i="15"/>
  <c r="AG77" i="15"/>
  <c r="AG135" i="15"/>
  <c r="AG136" i="15"/>
  <c r="AG133" i="15"/>
  <c r="AG73" i="15"/>
  <c r="AG110" i="15"/>
  <c r="AG134" i="15"/>
  <c r="AG105" i="15"/>
  <c r="AG102" i="15"/>
  <c r="AG103" i="15"/>
  <c r="AG72" i="15"/>
  <c r="AG104" i="15"/>
  <c r="AG74" i="15"/>
  <c r="AG36" i="15"/>
  <c r="AG37" i="15"/>
  <c r="AG35" i="15"/>
  <c r="AG34" i="15"/>
  <c r="AG127" i="15"/>
  <c r="AG98" i="15"/>
  <c r="AH153" i="15"/>
  <c r="AH151" i="15"/>
  <c r="AH122" i="15"/>
  <c r="AH154" i="15"/>
  <c r="AH152" i="15"/>
  <c r="AH123" i="15"/>
  <c r="AH121" i="15"/>
  <c r="AH92" i="15"/>
  <c r="AH90" i="15"/>
  <c r="AH114" i="15"/>
  <c r="AH120" i="15"/>
  <c r="AH91" i="15"/>
  <c r="AH89" i="15"/>
  <c r="AH85" i="15"/>
  <c r="AH60" i="15"/>
  <c r="AH58" i="15"/>
  <c r="AH83" i="15"/>
  <c r="AH61" i="15"/>
  <c r="AH59" i="15"/>
  <c r="AH55" i="15"/>
  <c r="AH53" i="15"/>
  <c r="AH48" i="15"/>
  <c r="AH46" i="15"/>
  <c r="AH43" i="15"/>
  <c r="AH41" i="15"/>
  <c r="AH54" i="15"/>
  <c r="AH52" i="15"/>
  <c r="AH49" i="15"/>
  <c r="AH47" i="15"/>
  <c r="AH42" i="15"/>
  <c r="AH40" i="15"/>
  <c r="AH117" i="15"/>
  <c r="AH116" i="15"/>
  <c r="AH109" i="15"/>
  <c r="AH140" i="15"/>
  <c r="AH148" i="15"/>
  <c r="AH145" i="15"/>
  <c r="AH110" i="15"/>
  <c r="AH139" i="15"/>
  <c r="AH108" i="15"/>
  <c r="AH141" i="15"/>
  <c r="AH77" i="15"/>
  <c r="AH78" i="15"/>
  <c r="AH147" i="15"/>
  <c r="AH86" i="15"/>
  <c r="AH146" i="15"/>
  <c r="AH84" i="15"/>
  <c r="AH111" i="15"/>
  <c r="AH80" i="15"/>
  <c r="AH115" i="15"/>
  <c r="AH142" i="15"/>
  <c r="AH79" i="15"/>
  <c r="AH134" i="15"/>
  <c r="AH105" i="15"/>
  <c r="AH104" i="15"/>
  <c r="AH103" i="15"/>
  <c r="AH72" i="15"/>
  <c r="AH73" i="15"/>
  <c r="AH135" i="15"/>
  <c r="AH102" i="15"/>
  <c r="AH136" i="15"/>
  <c r="AH133" i="15"/>
  <c r="AH74" i="15"/>
  <c r="AH71" i="15"/>
  <c r="AH37" i="15"/>
  <c r="AH34" i="15"/>
  <c r="AH36" i="15"/>
  <c r="AG128" i="15"/>
  <c r="Z32" i="15"/>
  <c r="Z94" i="15"/>
  <c r="Z63" i="15"/>
  <c r="B64" i="15"/>
  <c r="B95" i="15" s="1"/>
  <c r="AA104" i="13"/>
  <c r="AA19" i="15"/>
  <c r="AA63" i="15" s="1"/>
  <c r="AC54" i="5"/>
  <c r="AA136" i="13"/>
  <c r="AA97" i="13"/>
  <c r="AA168" i="13"/>
  <c r="AA161" i="13"/>
  <c r="AA111" i="13"/>
  <c r="AA175" i="13"/>
  <c r="AA154" i="13"/>
  <c r="AA90" i="13"/>
  <c r="AA143" i="13"/>
  <c r="AA122" i="13"/>
  <c r="AH130" i="15"/>
  <c r="AH129" i="15"/>
  <c r="AH128" i="15"/>
  <c r="AH127" i="15"/>
  <c r="AH65" i="15"/>
  <c r="AH68" i="15"/>
  <c r="AH67" i="15"/>
  <c r="AH66" i="15"/>
  <c r="AH99" i="15"/>
  <c r="AH97" i="15"/>
  <c r="AH98" i="15"/>
  <c r="AH96" i="15"/>
  <c r="AF16" i="15"/>
  <c r="AG17" i="15"/>
  <c r="AF15" i="15"/>
  <c r="AE33" i="5"/>
  <c r="AC184" i="4"/>
  <c r="AC170" i="4"/>
  <c r="AC154" i="4"/>
  <c r="AC163" i="4"/>
  <c r="AC133" i="4"/>
  <c r="AC124" i="4"/>
  <c r="AC110" i="4"/>
  <c r="AC94" i="4"/>
  <c r="AC80" i="4"/>
  <c r="AC64" i="4"/>
  <c r="AC50" i="4"/>
  <c r="AC140" i="4"/>
  <c r="AC117" i="4"/>
  <c r="AC57" i="4"/>
  <c r="AC32" i="4"/>
  <c r="AC103" i="4"/>
  <c r="AC43" i="4"/>
  <c r="AC87" i="4"/>
  <c r="AC177" i="4"/>
  <c r="AC147" i="4"/>
  <c r="AC73" i="4"/>
  <c r="D92" i="13"/>
  <c r="D124" i="13" s="1"/>
  <c r="E124" i="13" s="1"/>
  <c r="F124" i="13" s="1"/>
  <c r="G124" i="13" s="1"/>
  <c r="H124" i="13" s="1"/>
  <c r="I124" i="13" s="1"/>
  <c r="J124" i="13" s="1"/>
  <c r="K124" i="13" s="1"/>
  <c r="L124" i="13" s="1"/>
  <c r="M124" i="13" s="1"/>
  <c r="N124" i="13" s="1"/>
  <c r="O124" i="13" s="1"/>
  <c r="P124" i="13" s="1"/>
  <c r="Q124" i="13" s="1"/>
  <c r="R124" i="13" s="1"/>
  <c r="S124" i="13" s="1"/>
  <c r="T124" i="13" s="1"/>
  <c r="U124" i="13" s="1"/>
  <c r="V124" i="13" s="1"/>
  <c r="W124" i="13" s="1"/>
  <c r="X124" i="13" s="1"/>
  <c r="Y124" i="13" s="1"/>
  <c r="Z124" i="13" s="1"/>
  <c r="AA124" i="13" s="1"/>
  <c r="AB124" i="13" s="1"/>
  <c r="AC124" i="13" s="1"/>
  <c r="D93" i="13"/>
  <c r="D125" i="13" s="1"/>
  <c r="E125" i="13" s="1"/>
  <c r="F125" i="13" s="1"/>
  <c r="G125" i="13" s="1"/>
  <c r="H125" i="13" s="1"/>
  <c r="I125" i="13" s="1"/>
  <c r="J125" i="13" s="1"/>
  <c r="K125" i="13" s="1"/>
  <c r="L125" i="13" s="1"/>
  <c r="M125" i="13" s="1"/>
  <c r="N125" i="13" s="1"/>
  <c r="O125" i="13" s="1"/>
  <c r="P125" i="13" s="1"/>
  <c r="Q125" i="13" s="1"/>
  <c r="R125" i="13" s="1"/>
  <c r="S125" i="13" s="1"/>
  <c r="T125" i="13" s="1"/>
  <c r="U125" i="13" s="1"/>
  <c r="V125" i="13" s="1"/>
  <c r="W125" i="13" s="1"/>
  <c r="X125" i="13" s="1"/>
  <c r="Y125" i="13" s="1"/>
  <c r="Z125" i="13" s="1"/>
  <c r="AA125" i="13" s="1"/>
  <c r="AB125" i="13" s="1"/>
  <c r="AC125" i="13" s="1"/>
  <c r="D94" i="13"/>
  <c r="D126" i="13" s="1"/>
  <c r="E126" i="13" s="1"/>
  <c r="F126" i="13" s="1"/>
  <c r="G126" i="13" s="1"/>
  <c r="H126" i="13" s="1"/>
  <c r="I126" i="13" s="1"/>
  <c r="J126" i="13" s="1"/>
  <c r="K126" i="13" s="1"/>
  <c r="L126" i="13" s="1"/>
  <c r="M126" i="13" s="1"/>
  <c r="N126" i="13" s="1"/>
  <c r="O126" i="13" s="1"/>
  <c r="P126" i="13" s="1"/>
  <c r="Q126" i="13" s="1"/>
  <c r="R126" i="13" s="1"/>
  <c r="S126" i="13" s="1"/>
  <c r="T126" i="13" s="1"/>
  <c r="U126" i="13" s="1"/>
  <c r="V126" i="13" s="1"/>
  <c r="W126" i="13" s="1"/>
  <c r="X126" i="13" s="1"/>
  <c r="Y126" i="13" s="1"/>
  <c r="Z126" i="13" s="1"/>
  <c r="AA126" i="13" s="1"/>
  <c r="AB126" i="13" s="1"/>
  <c r="AC126" i="13" s="1"/>
  <c r="D98" i="13"/>
  <c r="D130" i="13" s="1"/>
  <c r="E130" i="13" s="1"/>
  <c r="F130" i="13" s="1"/>
  <c r="G130" i="13" s="1"/>
  <c r="H130" i="13" s="1"/>
  <c r="I130" i="13" s="1"/>
  <c r="J130" i="13" s="1"/>
  <c r="K130" i="13" s="1"/>
  <c r="L130" i="13" s="1"/>
  <c r="M130" i="13" s="1"/>
  <c r="N130" i="13" s="1"/>
  <c r="O130" i="13" s="1"/>
  <c r="P130" i="13" s="1"/>
  <c r="Q130" i="13" s="1"/>
  <c r="R130" i="13" s="1"/>
  <c r="S130" i="13" s="1"/>
  <c r="T130" i="13" s="1"/>
  <c r="U130" i="13" s="1"/>
  <c r="V130" i="13" s="1"/>
  <c r="W130" i="13" s="1"/>
  <c r="X130" i="13" s="1"/>
  <c r="Y130" i="13" s="1"/>
  <c r="Z130" i="13" s="1"/>
  <c r="AA130" i="13" s="1"/>
  <c r="AB130" i="13" s="1"/>
  <c r="AC130" i="13" s="1"/>
  <c r="D95" i="13"/>
  <c r="D127" i="13" s="1"/>
  <c r="E127" i="13" s="1"/>
  <c r="F127" i="13" s="1"/>
  <c r="G127" i="13" s="1"/>
  <c r="H127" i="13" s="1"/>
  <c r="I127" i="13" s="1"/>
  <c r="J127" i="13" s="1"/>
  <c r="K127" i="13" s="1"/>
  <c r="L127" i="13" s="1"/>
  <c r="M127" i="13" s="1"/>
  <c r="N127" i="13" s="1"/>
  <c r="O127" i="13" s="1"/>
  <c r="P127" i="13" s="1"/>
  <c r="Q127" i="13" s="1"/>
  <c r="R127" i="13" s="1"/>
  <c r="S127" i="13" s="1"/>
  <c r="T127" i="13" s="1"/>
  <c r="U127" i="13" s="1"/>
  <c r="V127" i="13" s="1"/>
  <c r="W127" i="13" s="1"/>
  <c r="X127" i="13" s="1"/>
  <c r="Y127" i="13" s="1"/>
  <c r="Z127" i="13" s="1"/>
  <c r="AA127" i="13" s="1"/>
  <c r="AB127" i="13" s="1"/>
  <c r="AC127" i="13" s="1"/>
  <c r="D99" i="13"/>
  <c r="D131" i="13" s="1"/>
  <c r="E131" i="13" s="1"/>
  <c r="F131" i="13" s="1"/>
  <c r="G131" i="13" s="1"/>
  <c r="H131" i="13" s="1"/>
  <c r="I131" i="13" s="1"/>
  <c r="J131" i="13" s="1"/>
  <c r="K131" i="13" s="1"/>
  <c r="L131" i="13" s="1"/>
  <c r="M131" i="13" s="1"/>
  <c r="N131" i="13" s="1"/>
  <c r="O131" i="13" s="1"/>
  <c r="P131" i="13" s="1"/>
  <c r="Q131" i="13" s="1"/>
  <c r="R131" i="13" s="1"/>
  <c r="S131" i="13" s="1"/>
  <c r="T131" i="13" s="1"/>
  <c r="U131" i="13" s="1"/>
  <c r="V131" i="13" s="1"/>
  <c r="W131" i="13" s="1"/>
  <c r="X131" i="13" s="1"/>
  <c r="Y131" i="13" s="1"/>
  <c r="Z131" i="13" s="1"/>
  <c r="AA131" i="13" s="1"/>
  <c r="AB131" i="13" s="1"/>
  <c r="AC131" i="13" s="1"/>
  <c r="AD14" i="5"/>
  <c r="AD7" i="5"/>
  <c r="AD21" i="5"/>
  <c r="AD100" i="5"/>
  <c r="AD86" i="5"/>
  <c r="AD114" i="5"/>
  <c r="AD77" i="5"/>
  <c r="AD107" i="5"/>
  <c r="AD46" i="5"/>
  <c r="AD62" i="5" s="1"/>
  <c r="AD38" i="5"/>
  <c r="AD70" i="5"/>
  <c r="AD93" i="5"/>
  <c r="AF34" i="5"/>
  <c r="AE32" i="5"/>
  <c r="D26" i="13"/>
  <c r="AB111" i="13" l="1"/>
  <c r="AA94" i="15"/>
  <c r="AA125" i="15"/>
  <c r="AA32" i="15"/>
  <c r="AF33" i="5"/>
  <c r="AE31" i="4"/>
  <c r="AB19" i="15"/>
  <c r="AB94" i="15" s="1"/>
  <c r="AD54" i="5"/>
  <c r="AB161" i="13"/>
  <c r="AB175" i="13"/>
  <c r="AB168" i="13"/>
  <c r="AB122" i="13"/>
  <c r="AB90" i="13"/>
  <c r="AB129" i="13"/>
  <c r="AB136" i="13"/>
  <c r="AB154" i="13"/>
  <c r="AB143" i="13"/>
  <c r="AB104" i="13"/>
  <c r="AB97" i="13"/>
  <c r="AH17" i="15"/>
  <c r="AG15" i="15"/>
  <c r="AG16" i="15"/>
  <c r="AD184" i="4"/>
  <c r="AD147" i="4"/>
  <c r="AD154" i="4"/>
  <c r="AD177" i="4"/>
  <c r="AD133" i="4"/>
  <c r="AD103" i="4"/>
  <c r="AD80" i="4"/>
  <c r="AD43" i="4"/>
  <c r="AD87" i="4"/>
  <c r="AD64" i="4"/>
  <c r="AD163" i="4"/>
  <c r="AD110" i="4"/>
  <c r="AD73" i="4"/>
  <c r="AD50" i="4"/>
  <c r="AD170" i="4"/>
  <c r="AD124" i="4"/>
  <c r="AD140" i="4"/>
  <c r="AD117" i="4"/>
  <c r="AD32" i="4"/>
  <c r="AD94" i="4"/>
  <c r="AD57" i="4"/>
  <c r="B126" i="15"/>
  <c r="AE7" i="5"/>
  <c r="AE21" i="5"/>
  <c r="AE14" i="5"/>
  <c r="AF32" i="5"/>
  <c r="AG34" i="5"/>
  <c r="AE114" i="5"/>
  <c r="AE100" i="5"/>
  <c r="AE86" i="5"/>
  <c r="AE70" i="5"/>
  <c r="AE107" i="5"/>
  <c r="AE46" i="5"/>
  <c r="AE62" i="5" s="1"/>
  <c r="AE38" i="5"/>
  <c r="AE93" i="5"/>
  <c r="AE77" i="5"/>
  <c r="AB125" i="15" l="1"/>
  <c r="AC90" i="13"/>
  <c r="AC154" i="13"/>
  <c r="AC161" i="13"/>
  <c r="AB63" i="15"/>
  <c r="AB32" i="15"/>
  <c r="AC168" i="13"/>
  <c r="AC104" i="13"/>
  <c r="AC175" i="13"/>
  <c r="AG33" i="5"/>
  <c r="AF31" i="4"/>
  <c r="AC111" i="13"/>
  <c r="AC122" i="13"/>
  <c r="AC129" i="13"/>
  <c r="AC97" i="13"/>
  <c r="AC136" i="13"/>
  <c r="AC143" i="13"/>
  <c r="AC19" i="15"/>
  <c r="AC32" i="15" s="1"/>
  <c r="AE54" i="5"/>
  <c r="AH15" i="15"/>
  <c r="AH16" i="15"/>
  <c r="AE177" i="4"/>
  <c r="AE163" i="4"/>
  <c r="AE147" i="4"/>
  <c r="AE170" i="4"/>
  <c r="AE140" i="4"/>
  <c r="AE124" i="4"/>
  <c r="AE184" i="4"/>
  <c r="AE133" i="4"/>
  <c r="AE117" i="4"/>
  <c r="AE103" i="4"/>
  <c r="AE87" i="4"/>
  <c r="AE73" i="4"/>
  <c r="AE57" i="4"/>
  <c r="AE43" i="4"/>
  <c r="AE64" i="4"/>
  <c r="AE50" i="4"/>
  <c r="AE154" i="4"/>
  <c r="AE94" i="4"/>
  <c r="AE110" i="4"/>
  <c r="AE32" i="4"/>
  <c r="AE80" i="4"/>
  <c r="AF7" i="5"/>
  <c r="AF21" i="5"/>
  <c r="AF14" i="5"/>
  <c r="AG32" i="5"/>
  <c r="AH34" i="5"/>
  <c r="AF38" i="5"/>
  <c r="AF93" i="5"/>
  <c r="AF107" i="5"/>
  <c r="AF114" i="5"/>
  <c r="AF86" i="5"/>
  <c r="AF70" i="5"/>
  <c r="AF77" i="5"/>
  <c r="AF100" i="5"/>
  <c r="AF46" i="5"/>
  <c r="AF62" i="5" s="1"/>
  <c r="AC94" i="15" l="1"/>
  <c r="AC63" i="15"/>
  <c r="AC125" i="15"/>
  <c r="AH33" i="5"/>
  <c r="AG31" i="4"/>
  <c r="AD19" i="15"/>
  <c r="AD94" i="15" s="1"/>
  <c r="AF54" i="5"/>
  <c r="AF154" i="4"/>
  <c r="AF177" i="4"/>
  <c r="AF147" i="4"/>
  <c r="AF170" i="4"/>
  <c r="AF124" i="4"/>
  <c r="AF110" i="4"/>
  <c r="AF87" i="4"/>
  <c r="AF50" i="4"/>
  <c r="AF94" i="4"/>
  <c r="AF73" i="4"/>
  <c r="AF32" i="4"/>
  <c r="AF140" i="4"/>
  <c r="AF117" i="4"/>
  <c r="AF80" i="4"/>
  <c r="AF57" i="4"/>
  <c r="AF163" i="4"/>
  <c r="AF184" i="4"/>
  <c r="AF133" i="4"/>
  <c r="AF103" i="4"/>
  <c r="AF64" i="4"/>
  <c r="AF43" i="4"/>
  <c r="AG14" i="5"/>
  <c r="AG7" i="5"/>
  <c r="AG21" i="5"/>
  <c r="AI34" i="5"/>
  <c r="AH32" i="5"/>
  <c r="AG38" i="5"/>
  <c r="AG107" i="5"/>
  <c r="AG93" i="5"/>
  <c r="AG77" i="5"/>
  <c r="AG46" i="5"/>
  <c r="AG62" i="5" s="1"/>
  <c r="AG114" i="5"/>
  <c r="AG86" i="5"/>
  <c r="AG70" i="5"/>
  <c r="AG100" i="5"/>
  <c r="B148" i="13"/>
  <c r="B147" i="13"/>
  <c r="B146" i="13"/>
  <c r="B145" i="13"/>
  <c r="B144" i="13"/>
  <c r="B141" i="13"/>
  <c r="B140" i="13"/>
  <c r="B139" i="13"/>
  <c r="B138" i="13"/>
  <c r="B137" i="13"/>
  <c r="B134" i="13"/>
  <c r="B133" i="13"/>
  <c r="B132" i="13"/>
  <c r="B131" i="13"/>
  <c r="B130" i="13"/>
  <c r="B127" i="13"/>
  <c r="B126" i="13"/>
  <c r="B125" i="13"/>
  <c r="B124" i="13"/>
  <c r="B123" i="13"/>
  <c r="B180" i="13"/>
  <c r="B179" i="13"/>
  <c r="B178" i="13"/>
  <c r="B177" i="13"/>
  <c r="B176" i="13"/>
  <c r="B173" i="13"/>
  <c r="B172" i="13"/>
  <c r="B171" i="13"/>
  <c r="B170" i="13"/>
  <c r="B169" i="13"/>
  <c r="B166" i="13"/>
  <c r="B165" i="13"/>
  <c r="B164" i="13"/>
  <c r="B163" i="13"/>
  <c r="B162" i="13"/>
  <c r="B159" i="13"/>
  <c r="B158" i="13"/>
  <c r="B157" i="13"/>
  <c r="B156" i="13"/>
  <c r="B155" i="13"/>
  <c r="AD125" i="15" l="1"/>
  <c r="AD63" i="15"/>
  <c r="AD32" i="15"/>
  <c r="AI33" i="5"/>
  <c r="AH31" i="4"/>
  <c r="AE19" i="15"/>
  <c r="AE125" i="15" s="1"/>
  <c r="AG54" i="5"/>
  <c r="AG184" i="4"/>
  <c r="AG170" i="4"/>
  <c r="AG154" i="4"/>
  <c r="AG177" i="4"/>
  <c r="AG133" i="4"/>
  <c r="AG140" i="4"/>
  <c r="AG110" i="4"/>
  <c r="AG94" i="4"/>
  <c r="AG80" i="4"/>
  <c r="AG64" i="4"/>
  <c r="AG50" i="4"/>
  <c r="AG163" i="4"/>
  <c r="AG73" i="4"/>
  <c r="AG32" i="4"/>
  <c r="AG57" i="4"/>
  <c r="AG147" i="4"/>
  <c r="AG103" i="4"/>
  <c r="AG43" i="4"/>
  <c r="AG117" i="4"/>
  <c r="AG124" i="4"/>
  <c r="AG87" i="4"/>
  <c r="AH14" i="5"/>
  <c r="AH7" i="5"/>
  <c r="AH21" i="5"/>
  <c r="AH38" i="5"/>
  <c r="AH100" i="5"/>
  <c r="AH86" i="5"/>
  <c r="AH114" i="5"/>
  <c r="AH93" i="5"/>
  <c r="AH77" i="5"/>
  <c r="AH46" i="5"/>
  <c r="AH62" i="5" s="1"/>
  <c r="AH107" i="5"/>
  <c r="AH70" i="5"/>
  <c r="AJ34" i="5"/>
  <c r="AI32" i="5"/>
  <c r="B43" i="13"/>
  <c r="AE32" i="15" l="1"/>
  <c r="AE94" i="15"/>
  <c r="AE63" i="15"/>
  <c r="AJ33" i="5"/>
  <c r="AI31" i="4"/>
  <c r="AF19" i="15"/>
  <c r="AF63" i="15" s="1"/>
  <c r="AH54" i="5"/>
  <c r="AH163" i="4"/>
  <c r="AH170" i="4"/>
  <c r="AH124" i="4"/>
  <c r="AH117" i="4"/>
  <c r="AH94" i="4"/>
  <c r="AH57" i="4"/>
  <c r="AH103" i="4"/>
  <c r="AH80" i="4"/>
  <c r="AH43" i="4"/>
  <c r="AH184" i="4"/>
  <c r="AH133" i="4"/>
  <c r="AH87" i="4"/>
  <c r="AH64" i="4"/>
  <c r="AH154" i="4"/>
  <c r="AH147" i="4"/>
  <c r="AH140" i="4"/>
  <c r="AH50" i="4"/>
  <c r="AH32" i="4"/>
  <c r="AH177" i="4"/>
  <c r="AH110" i="4"/>
  <c r="AH73" i="4"/>
  <c r="AI7" i="5"/>
  <c r="AI21" i="5"/>
  <c r="AI14" i="5"/>
  <c r="AJ32" i="5"/>
  <c r="AI38" i="5"/>
  <c r="AI114" i="5"/>
  <c r="AI100" i="5"/>
  <c r="AI86" i="5"/>
  <c r="AI70" i="5"/>
  <c r="AI93" i="5"/>
  <c r="AI77" i="5"/>
  <c r="AI46" i="5"/>
  <c r="AI62" i="5" s="1"/>
  <c r="AI107" i="5"/>
  <c r="AF125" i="15" l="1"/>
  <c r="AF32" i="15"/>
  <c r="AF94" i="15"/>
  <c r="AG19" i="15"/>
  <c r="AG32" i="15" s="1"/>
  <c r="AI54" i="5"/>
  <c r="AI177" i="4"/>
  <c r="AI163" i="4"/>
  <c r="AI147" i="4"/>
  <c r="AI184" i="4"/>
  <c r="AI140" i="4"/>
  <c r="AI124" i="4"/>
  <c r="AI117" i="4"/>
  <c r="AI103" i="4"/>
  <c r="AI87" i="4"/>
  <c r="AI73" i="4"/>
  <c r="AI57" i="4"/>
  <c r="AI43" i="4"/>
  <c r="AI154" i="4"/>
  <c r="AI80" i="4"/>
  <c r="AI64" i="4"/>
  <c r="AI110" i="4"/>
  <c r="AI50" i="4"/>
  <c r="AI133" i="4"/>
  <c r="AI170" i="4"/>
  <c r="AI94" i="4"/>
  <c r="AI32" i="4"/>
  <c r="AJ7" i="5"/>
  <c r="AJ21" i="5"/>
  <c r="AJ14" i="5"/>
  <c r="AJ38" i="5"/>
  <c r="AJ93" i="5"/>
  <c r="AJ107" i="5"/>
  <c r="AJ46" i="5"/>
  <c r="AJ62" i="5" s="1"/>
  <c r="AJ100" i="5"/>
  <c r="AJ70" i="5"/>
  <c r="AJ86" i="5"/>
  <c r="AJ114" i="5"/>
  <c r="AJ77" i="5"/>
  <c r="AG125" i="15" l="1"/>
  <c r="AH19" i="15"/>
  <c r="AH94" i="15" s="1"/>
  <c r="AJ54" i="5"/>
  <c r="AG94" i="15"/>
  <c r="AG63" i="15"/>
  <c r="AH125" i="15" l="1"/>
  <c r="AH32" i="15"/>
  <c r="AH63" i="15"/>
  <c r="B116" i="13"/>
  <c r="B115" i="13"/>
  <c r="B114" i="13"/>
  <c r="B113" i="13"/>
  <c r="B112" i="13"/>
  <c r="B109" i="13"/>
  <c r="B108" i="13"/>
  <c r="B107" i="13"/>
  <c r="B106" i="13"/>
  <c r="B105" i="13"/>
  <c r="B102" i="13"/>
  <c r="B101" i="13"/>
  <c r="B100" i="13"/>
  <c r="B99" i="13"/>
  <c r="B98" i="13"/>
  <c r="B95" i="13"/>
  <c r="B94" i="13"/>
  <c r="B93" i="13"/>
  <c r="B92" i="13"/>
  <c r="B91" i="13"/>
  <c r="B90" i="13"/>
  <c r="B85" i="13"/>
  <c r="B84" i="13"/>
  <c r="B83" i="13"/>
  <c r="B82" i="13"/>
  <c r="B81" i="13"/>
  <c r="B80" i="13"/>
  <c r="B79" i="13"/>
  <c r="B73" i="13"/>
  <c r="B72" i="13"/>
  <c r="B71" i="13"/>
  <c r="B70" i="13"/>
  <c r="B69" i="13"/>
  <c r="B68" i="13"/>
  <c r="B67" i="13"/>
  <c r="B61" i="13"/>
  <c r="B60" i="13"/>
  <c r="B59" i="13"/>
  <c r="B58" i="13"/>
  <c r="B57" i="13"/>
  <c r="B56" i="13"/>
  <c r="B55" i="13"/>
  <c r="B49" i="13"/>
  <c r="B48" i="13"/>
  <c r="B47" i="13"/>
  <c r="B46" i="13"/>
  <c r="B45" i="13"/>
  <c r="B44" i="13"/>
  <c r="B154" i="13" l="1"/>
  <c r="B122" i="13"/>
  <c r="B111" i="13" l="1"/>
  <c r="B104" i="13"/>
  <c r="B97" i="13"/>
  <c r="B143" i="13" l="1"/>
  <c r="B175" i="13"/>
  <c r="B136" i="13"/>
  <c r="B168" i="13"/>
  <c r="B129" i="13"/>
  <c r="B161" i="13"/>
  <c r="C33" i="4" l="1"/>
  <c r="C37" i="4"/>
  <c r="C36" i="4"/>
  <c r="C35" i="4"/>
  <c r="C34" i="4"/>
  <c r="G29" i="15" l="1"/>
  <c r="J8" i="6"/>
  <c r="K8" i="6" s="1"/>
  <c r="L8" i="6" s="1"/>
  <c r="K7" i="6"/>
  <c r="L7" i="6"/>
  <c r="G27" i="15" l="1"/>
  <c r="H27" i="15"/>
  <c r="H28" i="15"/>
  <c r="F27" i="15"/>
  <c r="E27" i="15"/>
  <c r="I27" i="15"/>
  <c r="H30" i="15"/>
  <c r="F28" i="15"/>
  <c r="F30" i="15"/>
  <c r="F29" i="15"/>
  <c r="E30" i="15"/>
  <c r="E28" i="15"/>
  <c r="E29" i="15"/>
  <c r="G28" i="15"/>
  <c r="G30" i="15"/>
  <c r="I30" i="15"/>
  <c r="H29" i="15"/>
  <c r="I28" i="15"/>
  <c r="C11" i="5"/>
  <c r="C10" i="5"/>
  <c r="C9" i="5"/>
  <c r="C8" i="5"/>
  <c r="I29" i="15" l="1"/>
  <c r="J28" i="15"/>
  <c r="J30" i="15"/>
  <c r="C40" i="5"/>
  <c r="C48" i="5" s="1"/>
  <c r="D48" i="5"/>
  <c r="C41" i="5"/>
  <c r="C49" i="5" s="1"/>
  <c r="D49" i="5"/>
  <c r="C42" i="5"/>
  <c r="C50" i="5" s="1"/>
  <c r="D50" i="5"/>
  <c r="C43" i="5"/>
  <c r="C51" i="5" s="1"/>
  <c r="D51" i="5"/>
  <c r="K30" i="15" l="1"/>
  <c r="K28" i="15"/>
  <c r="J29" i="15"/>
  <c r="H12" i="6"/>
  <c r="I8" i="4" s="1"/>
  <c r="J8" i="4" s="1"/>
  <c r="AK58" i="5" l="1"/>
  <c r="AK59" i="5"/>
  <c r="AK57" i="5"/>
  <c r="AK56" i="5"/>
  <c r="AK55" i="5"/>
  <c r="AF35" i="5"/>
  <c r="K29" i="15"/>
  <c r="L28" i="15"/>
  <c r="L30" i="15"/>
  <c r="G35" i="5"/>
  <c r="H35" i="5"/>
  <c r="I35" i="5"/>
  <c r="J35" i="5"/>
  <c r="L35" i="5"/>
  <c r="K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L29" i="15" l="1"/>
  <c r="M30" i="15"/>
  <c r="M28" i="15"/>
  <c r="W120" i="13"/>
  <c r="W152" i="13"/>
  <c r="O120" i="13"/>
  <c r="O152" i="13"/>
  <c r="AC120" i="13"/>
  <c r="AC152" i="13"/>
  <c r="U120" i="13"/>
  <c r="U152" i="13"/>
  <c r="M152" i="13"/>
  <c r="M120" i="13"/>
  <c r="K152" i="13"/>
  <c r="K120" i="13"/>
  <c r="J120" i="13"/>
  <c r="J152" i="13"/>
  <c r="F120" i="13"/>
  <c r="F152" i="13"/>
  <c r="Y152" i="13"/>
  <c r="Y120" i="13"/>
  <c r="Q120" i="13"/>
  <c r="Q152" i="13"/>
  <c r="AB152" i="13"/>
  <c r="AB120" i="13"/>
  <c r="AA152" i="13"/>
  <c r="AA120" i="13"/>
  <c r="Z120" i="13"/>
  <c r="Z152" i="13"/>
  <c r="X152" i="13"/>
  <c r="X120" i="13"/>
  <c r="T152" i="13"/>
  <c r="T120" i="13"/>
  <c r="P152" i="13"/>
  <c r="P120" i="13"/>
  <c r="L152" i="13"/>
  <c r="L120" i="13"/>
  <c r="I120" i="13"/>
  <c r="I152" i="13"/>
  <c r="E152" i="13"/>
  <c r="E120" i="13"/>
  <c r="S152" i="13"/>
  <c r="S120" i="13"/>
  <c r="D152" i="13"/>
  <c r="D120" i="13"/>
  <c r="H152" i="13"/>
  <c r="H120" i="13"/>
  <c r="V120" i="13"/>
  <c r="V152" i="13"/>
  <c r="R120" i="13"/>
  <c r="R152" i="13"/>
  <c r="N120" i="13"/>
  <c r="N152" i="13"/>
  <c r="G152" i="13"/>
  <c r="G120" i="13"/>
  <c r="I7" i="6"/>
  <c r="J7" i="6"/>
  <c r="H14" i="6"/>
  <c r="H13" i="6"/>
  <c r="N30" i="15" l="1"/>
  <c r="M29" i="15"/>
  <c r="N28" i="15"/>
  <c r="P27" i="15"/>
  <c r="D178" i="13"/>
  <c r="E178" i="13" s="1"/>
  <c r="F178" i="13" s="1"/>
  <c r="G178" i="13" s="1"/>
  <c r="H178" i="13" s="1"/>
  <c r="I178" i="13" s="1"/>
  <c r="J178" i="13" s="1"/>
  <c r="K178" i="13" s="1"/>
  <c r="L178" i="13" s="1"/>
  <c r="M178" i="13" s="1"/>
  <c r="N178" i="13" s="1"/>
  <c r="O178" i="13" s="1"/>
  <c r="P178" i="13" s="1"/>
  <c r="Q178" i="13" s="1"/>
  <c r="R178" i="13" s="1"/>
  <c r="S178" i="13" s="1"/>
  <c r="T178" i="13" s="1"/>
  <c r="U178" i="13" s="1"/>
  <c r="V178" i="13" s="1"/>
  <c r="W178" i="13" s="1"/>
  <c r="X178" i="13" s="1"/>
  <c r="Y178" i="13" s="1"/>
  <c r="Z178" i="13" s="1"/>
  <c r="AA178" i="13" s="1"/>
  <c r="AB178" i="13" s="1"/>
  <c r="AC178" i="13" s="1"/>
  <c r="D171" i="13"/>
  <c r="E171" i="13" s="1"/>
  <c r="F171" i="13" s="1"/>
  <c r="G171" i="13" s="1"/>
  <c r="H171" i="13" s="1"/>
  <c r="I171" i="13" s="1"/>
  <c r="J171" i="13" s="1"/>
  <c r="K171" i="13" s="1"/>
  <c r="L171" i="13" s="1"/>
  <c r="M171" i="13" s="1"/>
  <c r="N171" i="13" s="1"/>
  <c r="O171" i="13" s="1"/>
  <c r="P171" i="13" s="1"/>
  <c r="Q171" i="13" s="1"/>
  <c r="R171" i="13" s="1"/>
  <c r="S171" i="13" s="1"/>
  <c r="T171" i="13" s="1"/>
  <c r="U171" i="13" s="1"/>
  <c r="V171" i="13" s="1"/>
  <c r="W171" i="13" s="1"/>
  <c r="X171" i="13" s="1"/>
  <c r="Y171" i="13" s="1"/>
  <c r="Z171" i="13" s="1"/>
  <c r="AA171" i="13" s="1"/>
  <c r="AB171" i="13" s="1"/>
  <c r="AC171" i="13" s="1"/>
  <c r="D164" i="13"/>
  <c r="E164" i="13" s="1"/>
  <c r="F164" i="13" s="1"/>
  <c r="G164" i="13" s="1"/>
  <c r="H164" i="13" s="1"/>
  <c r="I164" i="13" s="1"/>
  <c r="J164" i="13" s="1"/>
  <c r="K164" i="13" s="1"/>
  <c r="L164" i="13" s="1"/>
  <c r="M164" i="13" s="1"/>
  <c r="N164" i="13" s="1"/>
  <c r="O164" i="13" s="1"/>
  <c r="P164" i="13" s="1"/>
  <c r="Q164" i="13" s="1"/>
  <c r="R164" i="13" s="1"/>
  <c r="S164" i="13" s="1"/>
  <c r="T164" i="13" s="1"/>
  <c r="U164" i="13" s="1"/>
  <c r="V164" i="13" s="1"/>
  <c r="W164" i="13" s="1"/>
  <c r="X164" i="13" s="1"/>
  <c r="Y164" i="13" s="1"/>
  <c r="Z164" i="13" s="1"/>
  <c r="AA164" i="13" s="1"/>
  <c r="AB164" i="13" s="1"/>
  <c r="AC164" i="13" s="1"/>
  <c r="D162" i="13"/>
  <c r="E162" i="13" s="1"/>
  <c r="F162" i="13" s="1"/>
  <c r="G162" i="13" s="1"/>
  <c r="H162" i="13" s="1"/>
  <c r="I162" i="13" s="1"/>
  <c r="J162" i="13" s="1"/>
  <c r="K162" i="13" s="1"/>
  <c r="L162" i="13" s="1"/>
  <c r="M162" i="13" s="1"/>
  <c r="N162" i="13" s="1"/>
  <c r="O162" i="13" s="1"/>
  <c r="P162" i="13" s="1"/>
  <c r="Q162" i="13" s="1"/>
  <c r="R162" i="13" s="1"/>
  <c r="S162" i="13" s="1"/>
  <c r="T162" i="13" s="1"/>
  <c r="U162" i="13" s="1"/>
  <c r="V162" i="13" s="1"/>
  <c r="W162" i="13" s="1"/>
  <c r="X162" i="13" s="1"/>
  <c r="Y162" i="13" s="1"/>
  <c r="Z162" i="13" s="1"/>
  <c r="AA162" i="13" s="1"/>
  <c r="AB162" i="13" s="1"/>
  <c r="AC162" i="13" s="1"/>
  <c r="D156" i="13"/>
  <c r="E156" i="13" s="1"/>
  <c r="F156" i="13" s="1"/>
  <c r="G156" i="13" s="1"/>
  <c r="H156" i="13" s="1"/>
  <c r="I156" i="13" s="1"/>
  <c r="J156" i="13" s="1"/>
  <c r="K156" i="13" s="1"/>
  <c r="L156" i="13" s="1"/>
  <c r="M156" i="13" s="1"/>
  <c r="N156" i="13" s="1"/>
  <c r="O156" i="13" s="1"/>
  <c r="P156" i="13" s="1"/>
  <c r="Q156" i="13" s="1"/>
  <c r="R156" i="13" s="1"/>
  <c r="S156" i="13" s="1"/>
  <c r="T156" i="13" s="1"/>
  <c r="U156" i="13" s="1"/>
  <c r="V156" i="13" s="1"/>
  <c r="W156" i="13" s="1"/>
  <c r="X156" i="13" s="1"/>
  <c r="Y156" i="13" s="1"/>
  <c r="Z156" i="13" s="1"/>
  <c r="AA156" i="13" s="1"/>
  <c r="AB156" i="13" s="1"/>
  <c r="AC156" i="13" s="1"/>
  <c r="D172" i="13"/>
  <c r="E172" i="13" s="1"/>
  <c r="F172" i="13" s="1"/>
  <c r="G172" i="13" s="1"/>
  <c r="H172" i="13" s="1"/>
  <c r="I172" i="13" s="1"/>
  <c r="J172" i="13" s="1"/>
  <c r="K172" i="13" s="1"/>
  <c r="L172" i="13" s="1"/>
  <c r="M172" i="13" s="1"/>
  <c r="N172" i="13" s="1"/>
  <c r="O172" i="13" s="1"/>
  <c r="P172" i="13" s="1"/>
  <c r="Q172" i="13" s="1"/>
  <c r="R172" i="13" s="1"/>
  <c r="S172" i="13" s="1"/>
  <c r="T172" i="13" s="1"/>
  <c r="U172" i="13" s="1"/>
  <c r="V172" i="13" s="1"/>
  <c r="W172" i="13" s="1"/>
  <c r="X172" i="13" s="1"/>
  <c r="Y172" i="13" s="1"/>
  <c r="Z172" i="13" s="1"/>
  <c r="AA172" i="13" s="1"/>
  <c r="AB172" i="13" s="1"/>
  <c r="AC172" i="13" s="1"/>
  <c r="D157" i="13"/>
  <c r="E157" i="13" s="1"/>
  <c r="F157" i="13" s="1"/>
  <c r="G157" i="13" s="1"/>
  <c r="H157" i="13" s="1"/>
  <c r="I157" i="13" s="1"/>
  <c r="J157" i="13" s="1"/>
  <c r="K157" i="13" s="1"/>
  <c r="L157" i="13" s="1"/>
  <c r="M157" i="13" s="1"/>
  <c r="N157" i="13" s="1"/>
  <c r="O157" i="13" s="1"/>
  <c r="P157" i="13" s="1"/>
  <c r="Q157" i="13" s="1"/>
  <c r="R157" i="13" s="1"/>
  <c r="S157" i="13" s="1"/>
  <c r="T157" i="13" s="1"/>
  <c r="U157" i="13" s="1"/>
  <c r="V157" i="13" s="1"/>
  <c r="W157" i="13" s="1"/>
  <c r="X157" i="13" s="1"/>
  <c r="Y157" i="13" s="1"/>
  <c r="Z157" i="13" s="1"/>
  <c r="AA157" i="13" s="1"/>
  <c r="AB157" i="13" s="1"/>
  <c r="AC157" i="13" s="1"/>
  <c r="D177" i="13"/>
  <c r="E177" i="13" s="1"/>
  <c r="F177" i="13" s="1"/>
  <c r="G177" i="13" s="1"/>
  <c r="H177" i="13" s="1"/>
  <c r="I177" i="13" s="1"/>
  <c r="J177" i="13" s="1"/>
  <c r="K177" i="13" s="1"/>
  <c r="L177" i="13" s="1"/>
  <c r="M177" i="13" s="1"/>
  <c r="N177" i="13" s="1"/>
  <c r="O177" i="13" s="1"/>
  <c r="P177" i="13" s="1"/>
  <c r="Q177" i="13" s="1"/>
  <c r="R177" i="13" s="1"/>
  <c r="S177" i="13" s="1"/>
  <c r="T177" i="13" s="1"/>
  <c r="U177" i="13" s="1"/>
  <c r="V177" i="13" s="1"/>
  <c r="W177" i="13" s="1"/>
  <c r="X177" i="13" s="1"/>
  <c r="Y177" i="13" s="1"/>
  <c r="Z177" i="13" s="1"/>
  <c r="AA177" i="13" s="1"/>
  <c r="AB177" i="13" s="1"/>
  <c r="AC177" i="13" s="1"/>
  <c r="D170" i="13"/>
  <c r="E170" i="13" s="1"/>
  <c r="F170" i="13" s="1"/>
  <c r="G170" i="13" s="1"/>
  <c r="H170" i="13" s="1"/>
  <c r="I170" i="13" s="1"/>
  <c r="J170" i="13" s="1"/>
  <c r="K170" i="13" s="1"/>
  <c r="L170" i="13" s="1"/>
  <c r="M170" i="13" s="1"/>
  <c r="N170" i="13" s="1"/>
  <c r="O170" i="13" s="1"/>
  <c r="P170" i="13" s="1"/>
  <c r="Q170" i="13" s="1"/>
  <c r="R170" i="13" s="1"/>
  <c r="S170" i="13" s="1"/>
  <c r="T170" i="13" s="1"/>
  <c r="U170" i="13" s="1"/>
  <c r="V170" i="13" s="1"/>
  <c r="W170" i="13" s="1"/>
  <c r="X170" i="13" s="1"/>
  <c r="Y170" i="13" s="1"/>
  <c r="Z170" i="13" s="1"/>
  <c r="AA170" i="13" s="1"/>
  <c r="AB170" i="13" s="1"/>
  <c r="AC170" i="13" s="1"/>
  <c r="D163" i="13"/>
  <c r="E163" i="13" s="1"/>
  <c r="F163" i="13" s="1"/>
  <c r="G163" i="13" s="1"/>
  <c r="H163" i="13" s="1"/>
  <c r="I163" i="13" s="1"/>
  <c r="J163" i="13" s="1"/>
  <c r="K163" i="13" s="1"/>
  <c r="L163" i="13" s="1"/>
  <c r="M163" i="13" s="1"/>
  <c r="N163" i="13" s="1"/>
  <c r="O163" i="13" s="1"/>
  <c r="P163" i="13" s="1"/>
  <c r="Q163" i="13" s="1"/>
  <c r="R163" i="13" s="1"/>
  <c r="S163" i="13" s="1"/>
  <c r="T163" i="13" s="1"/>
  <c r="U163" i="13" s="1"/>
  <c r="V163" i="13" s="1"/>
  <c r="W163" i="13" s="1"/>
  <c r="X163" i="13" s="1"/>
  <c r="Y163" i="13" s="1"/>
  <c r="Z163" i="13" s="1"/>
  <c r="AA163" i="13" s="1"/>
  <c r="AB163" i="13" s="1"/>
  <c r="AC163" i="13" s="1"/>
  <c r="D159" i="13"/>
  <c r="E159" i="13" s="1"/>
  <c r="F159" i="13" s="1"/>
  <c r="G159" i="13" s="1"/>
  <c r="H159" i="13" s="1"/>
  <c r="I159" i="13" s="1"/>
  <c r="J159" i="13" s="1"/>
  <c r="K159" i="13" s="1"/>
  <c r="L159" i="13" s="1"/>
  <c r="M159" i="13" s="1"/>
  <c r="N159" i="13" s="1"/>
  <c r="O159" i="13" s="1"/>
  <c r="P159" i="13" s="1"/>
  <c r="Q159" i="13" s="1"/>
  <c r="R159" i="13" s="1"/>
  <c r="S159" i="13" s="1"/>
  <c r="T159" i="13" s="1"/>
  <c r="U159" i="13" s="1"/>
  <c r="V159" i="13" s="1"/>
  <c r="W159" i="13" s="1"/>
  <c r="X159" i="13" s="1"/>
  <c r="Y159" i="13" s="1"/>
  <c r="Z159" i="13" s="1"/>
  <c r="AA159" i="13" s="1"/>
  <c r="AB159" i="13" s="1"/>
  <c r="AC159" i="13" s="1"/>
  <c r="D155" i="13"/>
  <c r="E155" i="13" s="1"/>
  <c r="F155" i="13" s="1"/>
  <c r="G155" i="13" s="1"/>
  <c r="H155" i="13" s="1"/>
  <c r="I155" i="13" s="1"/>
  <c r="J155" i="13" s="1"/>
  <c r="K155" i="13" s="1"/>
  <c r="L155" i="13" s="1"/>
  <c r="M155" i="13" s="1"/>
  <c r="N155" i="13" s="1"/>
  <c r="O155" i="13" s="1"/>
  <c r="P155" i="13" s="1"/>
  <c r="Q155" i="13" s="1"/>
  <c r="R155" i="13" s="1"/>
  <c r="S155" i="13" s="1"/>
  <c r="T155" i="13" s="1"/>
  <c r="U155" i="13" s="1"/>
  <c r="V155" i="13" s="1"/>
  <c r="W155" i="13" s="1"/>
  <c r="X155" i="13" s="1"/>
  <c r="Y155" i="13" s="1"/>
  <c r="Z155" i="13" s="1"/>
  <c r="AA155" i="13" s="1"/>
  <c r="AB155" i="13" s="1"/>
  <c r="AC155" i="13" s="1"/>
  <c r="D165" i="13"/>
  <c r="E165" i="13" s="1"/>
  <c r="F165" i="13" s="1"/>
  <c r="G165" i="13" s="1"/>
  <c r="H165" i="13" s="1"/>
  <c r="I165" i="13" s="1"/>
  <c r="J165" i="13" s="1"/>
  <c r="K165" i="13" s="1"/>
  <c r="L165" i="13" s="1"/>
  <c r="M165" i="13" s="1"/>
  <c r="N165" i="13" s="1"/>
  <c r="O165" i="13" s="1"/>
  <c r="P165" i="13" s="1"/>
  <c r="Q165" i="13" s="1"/>
  <c r="R165" i="13" s="1"/>
  <c r="S165" i="13" s="1"/>
  <c r="T165" i="13" s="1"/>
  <c r="U165" i="13" s="1"/>
  <c r="V165" i="13" s="1"/>
  <c r="W165" i="13" s="1"/>
  <c r="X165" i="13" s="1"/>
  <c r="Y165" i="13" s="1"/>
  <c r="Z165" i="13" s="1"/>
  <c r="AA165" i="13" s="1"/>
  <c r="AB165" i="13" s="1"/>
  <c r="AC165" i="13" s="1"/>
  <c r="D180" i="13"/>
  <c r="E180" i="13" s="1"/>
  <c r="F180" i="13" s="1"/>
  <c r="G180" i="13" s="1"/>
  <c r="H180" i="13" s="1"/>
  <c r="I180" i="13" s="1"/>
  <c r="J180" i="13" s="1"/>
  <c r="K180" i="13" s="1"/>
  <c r="L180" i="13" s="1"/>
  <c r="M180" i="13" s="1"/>
  <c r="N180" i="13" s="1"/>
  <c r="O180" i="13" s="1"/>
  <c r="P180" i="13" s="1"/>
  <c r="Q180" i="13" s="1"/>
  <c r="R180" i="13" s="1"/>
  <c r="S180" i="13" s="1"/>
  <c r="T180" i="13" s="1"/>
  <c r="U180" i="13" s="1"/>
  <c r="V180" i="13" s="1"/>
  <c r="W180" i="13" s="1"/>
  <c r="X180" i="13" s="1"/>
  <c r="Y180" i="13" s="1"/>
  <c r="Z180" i="13" s="1"/>
  <c r="AA180" i="13" s="1"/>
  <c r="AB180" i="13" s="1"/>
  <c r="AC180" i="13" s="1"/>
  <c r="D173" i="13"/>
  <c r="E173" i="13" s="1"/>
  <c r="F173" i="13" s="1"/>
  <c r="G173" i="13" s="1"/>
  <c r="H173" i="13" s="1"/>
  <c r="I173" i="13" s="1"/>
  <c r="J173" i="13" s="1"/>
  <c r="K173" i="13" s="1"/>
  <c r="L173" i="13" s="1"/>
  <c r="M173" i="13" s="1"/>
  <c r="N173" i="13" s="1"/>
  <c r="O173" i="13" s="1"/>
  <c r="P173" i="13" s="1"/>
  <c r="Q173" i="13" s="1"/>
  <c r="R173" i="13" s="1"/>
  <c r="S173" i="13" s="1"/>
  <c r="T173" i="13" s="1"/>
  <c r="U173" i="13" s="1"/>
  <c r="V173" i="13" s="1"/>
  <c r="W173" i="13" s="1"/>
  <c r="X173" i="13" s="1"/>
  <c r="Y173" i="13" s="1"/>
  <c r="Z173" i="13" s="1"/>
  <c r="AA173" i="13" s="1"/>
  <c r="AB173" i="13" s="1"/>
  <c r="AC173" i="13" s="1"/>
  <c r="D166" i="13"/>
  <c r="E166" i="13" s="1"/>
  <c r="F166" i="13" s="1"/>
  <c r="G166" i="13" s="1"/>
  <c r="H166" i="13" s="1"/>
  <c r="I166" i="13" s="1"/>
  <c r="J166" i="13" s="1"/>
  <c r="K166" i="13" s="1"/>
  <c r="L166" i="13" s="1"/>
  <c r="M166" i="13" s="1"/>
  <c r="N166" i="13" s="1"/>
  <c r="O166" i="13" s="1"/>
  <c r="P166" i="13" s="1"/>
  <c r="Q166" i="13" s="1"/>
  <c r="R166" i="13" s="1"/>
  <c r="S166" i="13" s="1"/>
  <c r="T166" i="13" s="1"/>
  <c r="U166" i="13" s="1"/>
  <c r="V166" i="13" s="1"/>
  <c r="W166" i="13" s="1"/>
  <c r="X166" i="13" s="1"/>
  <c r="Y166" i="13" s="1"/>
  <c r="Z166" i="13" s="1"/>
  <c r="AA166" i="13" s="1"/>
  <c r="AB166" i="13" s="1"/>
  <c r="AC166" i="13" s="1"/>
  <c r="D176" i="13"/>
  <c r="D158" i="13"/>
  <c r="E158" i="13" s="1"/>
  <c r="F158" i="13" s="1"/>
  <c r="G158" i="13" s="1"/>
  <c r="H158" i="13" s="1"/>
  <c r="I158" i="13" s="1"/>
  <c r="J158" i="13" s="1"/>
  <c r="K158" i="13" s="1"/>
  <c r="L158" i="13" s="1"/>
  <c r="M158" i="13" s="1"/>
  <c r="N158" i="13" s="1"/>
  <c r="O158" i="13" s="1"/>
  <c r="P158" i="13" s="1"/>
  <c r="Q158" i="13" s="1"/>
  <c r="R158" i="13" s="1"/>
  <c r="S158" i="13" s="1"/>
  <c r="T158" i="13" s="1"/>
  <c r="U158" i="13" s="1"/>
  <c r="V158" i="13" s="1"/>
  <c r="W158" i="13" s="1"/>
  <c r="X158" i="13" s="1"/>
  <c r="Y158" i="13" s="1"/>
  <c r="Z158" i="13" s="1"/>
  <c r="AA158" i="13" s="1"/>
  <c r="AB158" i="13" s="1"/>
  <c r="AC158" i="13" s="1"/>
  <c r="D179" i="13"/>
  <c r="E179" i="13" s="1"/>
  <c r="F179" i="13" s="1"/>
  <c r="G179" i="13" s="1"/>
  <c r="H179" i="13" s="1"/>
  <c r="I179" i="13" s="1"/>
  <c r="J179" i="13" s="1"/>
  <c r="K179" i="13" s="1"/>
  <c r="L179" i="13" s="1"/>
  <c r="M179" i="13" s="1"/>
  <c r="N179" i="13" s="1"/>
  <c r="O179" i="13" s="1"/>
  <c r="P179" i="13" s="1"/>
  <c r="Q179" i="13" s="1"/>
  <c r="R179" i="13" s="1"/>
  <c r="S179" i="13" s="1"/>
  <c r="T179" i="13" s="1"/>
  <c r="U179" i="13" s="1"/>
  <c r="V179" i="13" s="1"/>
  <c r="W179" i="13" s="1"/>
  <c r="X179" i="13" s="1"/>
  <c r="Y179" i="13" s="1"/>
  <c r="Z179" i="13" s="1"/>
  <c r="AA179" i="13" s="1"/>
  <c r="AB179" i="13" s="1"/>
  <c r="AC179" i="13" s="1"/>
  <c r="D169" i="13"/>
  <c r="E169" i="13" s="1"/>
  <c r="F169" i="13" s="1"/>
  <c r="G169" i="13" s="1"/>
  <c r="H169" i="13" s="1"/>
  <c r="I169" i="13" s="1"/>
  <c r="J169" i="13" s="1"/>
  <c r="K169" i="13" s="1"/>
  <c r="L169" i="13" s="1"/>
  <c r="M169" i="13" s="1"/>
  <c r="N169" i="13" s="1"/>
  <c r="O169" i="13" s="1"/>
  <c r="P169" i="13" s="1"/>
  <c r="Q169" i="13" s="1"/>
  <c r="R169" i="13" s="1"/>
  <c r="S169" i="13" s="1"/>
  <c r="T169" i="13" s="1"/>
  <c r="U169" i="13" s="1"/>
  <c r="V169" i="13" s="1"/>
  <c r="W169" i="13" s="1"/>
  <c r="X169" i="13" s="1"/>
  <c r="Y169" i="13" s="1"/>
  <c r="Z169" i="13" s="1"/>
  <c r="AA169" i="13" s="1"/>
  <c r="AB169" i="13" s="1"/>
  <c r="AC169" i="13" s="1"/>
  <c r="E176" i="13" l="1"/>
  <c r="N29" i="15"/>
  <c r="O30" i="15"/>
  <c r="O28" i="15"/>
  <c r="B1" i="11"/>
  <c r="F14" i="11"/>
  <c r="F15" i="11"/>
  <c r="B15" i="11"/>
  <c r="F16" i="11"/>
  <c r="F17" i="11"/>
  <c r="F18" i="11"/>
  <c r="B1" i="4"/>
  <c r="D146" i="15" l="1"/>
  <c r="D121" i="15"/>
  <c r="D97" i="15"/>
  <c r="D72" i="15"/>
  <c r="D139" i="15"/>
  <c r="D114" i="15"/>
  <c r="D89" i="15"/>
  <c r="D147" i="15"/>
  <c r="D98" i="15"/>
  <c r="D55" i="15"/>
  <c r="D152" i="15"/>
  <c r="D42" i="15"/>
  <c r="D130" i="15"/>
  <c r="D80" i="15"/>
  <c r="D49" i="15"/>
  <c r="D105" i="15"/>
  <c r="D122" i="15"/>
  <c r="D73" i="15"/>
  <c r="D48" i="15"/>
  <c r="D61" i="15"/>
  <c r="D102" i="15"/>
  <c r="D123" i="15"/>
  <c r="D103" i="15"/>
  <c r="D36" i="15"/>
  <c r="D85" i="15"/>
  <c r="D128" i="15"/>
  <c r="D110" i="15"/>
  <c r="D141" i="15"/>
  <c r="D116" i="15"/>
  <c r="D91" i="15"/>
  <c r="D154" i="15"/>
  <c r="D134" i="15"/>
  <c r="D109" i="15"/>
  <c r="D84" i="15"/>
  <c r="D142" i="15"/>
  <c r="D92" i="15"/>
  <c r="D46" i="15"/>
  <c r="D115" i="15"/>
  <c r="D145" i="15"/>
  <c r="D96" i="15"/>
  <c r="D65" i="15"/>
  <c r="D40" i="15"/>
  <c r="D52" i="15"/>
  <c r="D117" i="15"/>
  <c r="D68" i="15"/>
  <c r="D43" i="15"/>
  <c r="D47" i="15"/>
  <c r="D148" i="15"/>
  <c r="D74" i="15"/>
  <c r="D135" i="15"/>
  <c r="D120" i="15"/>
  <c r="D53" i="15"/>
  <c r="D136" i="15"/>
  <c r="D111" i="15"/>
  <c r="D86" i="15"/>
  <c r="D153" i="15"/>
  <c r="D129" i="15"/>
  <c r="D104" i="15"/>
  <c r="D79" i="15"/>
  <c r="D108" i="15"/>
  <c r="D66" i="15"/>
  <c r="D41" i="15"/>
  <c r="D71" i="15"/>
  <c r="D140" i="15"/>
  <c r="D90" i="15"/>
  <c r="D59" i="15"/>
  <c r="D35" i="15"/>
  <c r="D133" i="15"/>
  <c r="D83" i="15"/>
  <c r="D58" i="15"/>
  <c r="D34" i="15"/>
  <c r="D37" i="15"/>
  <c r="D151" i="15"/>
  <c r="D127" i="15"/>
  <c r="D77" i="15"/>
  <c r="D99" i="15"/>
  <c r="D60" i="15"/>
  <c r="D67" i="15"/>
  <c r="D54" i="15"/>
  <c r="D78" i="15"/>
  <c r="F176" i="13"/>
  <c r="G116" i="5"/>
  <c r="G102" i="5"/>
  <c r="H116" i="5"/>
  <c r="H102" i="5"/>
  <c r="H88" i="5"/>
  <c r="G88" i="5"/>
  <c r="H95" i="5"/>
  <c r="G95" i="5"/>
  <c r="G109" i="5"/>
  <c r="H109" i="5"/>
  <c r="AJ102" i="5"/>
  <c r="AJ116" i="5"/>
  <c r="AJ109" i="5"/>
  <c r="AJ88" i="5"/>
  <c r="AJ95" i="5"/>
  <c r="V116" i="5"/>
  <c r="V88" i="5"/>
  <c r="L102" i="5"/>
  <c r="AI95" i="5"/>
  <c r="O102" i="5"/>
  <c r="R116" i="5"/>
  <c r="R95" i="5"/>
  <c r="R88" i="5"/>
  <c r="V109" i="5"/>
  <c r="L109" i="5"/>
  <c r="AI88" i="5"/>
  <c r="O95" i="5"/>
  <c r="O88" i="5"/>
  <c r="S102" i="5"/>
  <c r="V102" i="5"/>
  <c r="V95" i="5"/>
  <c r="AI109" i="5"/>
  <c r="O109" i="5"/>
  <c r="S95" i="5"/>
  <c r="M109" i="5"/>
  <c r="AF109" i="5"/>
  <c r="AH88" i="5"/>
  <c r="AI116" i="5"/>
  <c r="AH116" i="5"/>
  <c r="AH102" i="5"/>
  <c r="X116" i="5"/>
  <c r="P102" i="5"/>
  <c r="AE109" i="5"/>
  <c r="R109" i="5"/>
  <c r="L88" i="5"/>
  <c r="AI102" i="5"/>
  <c r="O116" i="5"/>
  <c r="S116" i="5"/>
  <c r="S109" i="5"/>
  <c r="M116" i="5"/>
  <c r="M95" i="5"/>
  <c r="AF95" i="5"/>
  <c r="X109" i="5"/>
  <c r="X95" i="5"/>
  <c r="AB102" i="5"/>
  <c r="AB88" i="5"/>
  <c r="T116" i="5"/>
  <c r="T102" i="5"/>
  <c r="T95" i="5"/>
  <c r="P95" i="5"/>
  <c r="L116" i="5"/>
  <c r="S88" i="5"/>
  <c r="M102" i="5"/>
  <c r="AF102" i="5"/>
  <c r="AF88" i="5"/>
  <c r="X88" i="5"/>
  <c r="AB116" i="5"/>
  <c r="AB95" i="5"/>
  <c r="T88" i="5"/>
  <c r="P116" i="5"/>
  <c r="P88" i="5"/>
  <c r="K88" i="5"/>
  <c r="N88" i="5"/>
  <c r="U95" i="5"/>
  <c r="AC102" i="5"/>
  <c r="Y102" i="5"/>
  <c r="I116" i="5"/>
  <c r="I102" i="5"/>
  <c r="W116" i="5"/>
  <c r="W109" i="5"/>
  <c r="AA116" i="5"/>
  <c r="AA109" i="5"/>
  <c r="AA88" i="5"/>
  <c r="AG95" i="5"/>
  <c r="AG88" i="5"/>
  <c r="Z116" i="5"/>
  <c r="Z88" i="5"/>
  <c r="AD102" i="5"/>
  <c r="J109" i="5"/>
  <c r="J88" i="5"/>
  <c r="AH109" i="5"/>
  <c r="AH95" i="5"/>
  <c r="X102" i="5"/>
  <c r="AE95" i="5"/>
  <c r="Q88" i="5"/>
  <c r="K102" i="5"/>
  <c r="K95" i="5"/>
  <c r="N102" i="5"/>
  <c r="U109" i="5"/>
  <c r="AC95" i="5"/>
  <c r="Y88" i="5"/>
  <c r="R102" i="5"/>
  <c r="L95" i="5"/>
  <c r="M88" i="5"/>
  <c r="AF116" i="5"/>
  <c r="AB109" i="5"/>
  <c r="T109" i="5"/>
  <c r="P109" i="5"/>
  <c r="AE116" i="5"/>
  <c r="Q116" i="5"/>
  <c r="Q95" i="5"/>
  <c r="K109" i="5"/>
  <c r="N116" i="5"/>
  <c r="N95" i="5"/>
  <c r="U116" i="5"/>
  <c r="U102" i="5"/>
  <c r="Y109" i="5"/>
  <c r="Y95" i="5"/>
  <c r="I95" i="5"/>
  <c r="W102" i="5"/>
  <c r="Q109" i="5"/>
  <c r="N109" i="5"/>
  <c r="U88" i="5"/>
  <c r="Y116" i="5"/>
  <c r="W95" i="5"/>
  <c r="W88" i="5"/>
  <c r="AA95" i="5"/>
  <c r="AG116" i="5"/>
  <c r="Z95" i="5"/>
  <c r="AD109" i="5"/>
  <c r="AD88" i="5"/>
  <c r="J116" i="5"/>
  <c r="J95" i="5"/>
  <c r="AE88" i="5"/>
  <c r="K116" i="5"/>
  <c r="AE102" i="5"/>
  <c r="AC116" i="5"/>
  <c r="AC109" i="5"/>
  <c r="AG109" i="5"/>
  <c r="AG102" i="5"/>
  <c r="AD116" i="5"/>
  <c r="Q102" i="5"/>
  <c r="AC88" i="5"/>
  <c r="Z102" i="5"/>
  <c r="Z109" i="5"/>
  <c r="AA102" i="5"/>
  <c r="I109" i="5"/>
  <c r="I88" i="5"/>
  <c r="AD95" i="5"/>
  <c r="J102" i="5"/>
  <c r="B108" i="5"/>
  <c r="B101" i="5"/>
  <c r="B87" i="5"/>
  <c r="B71" i="5"/>
  <c r="B15" i="5"/>
  <c r="B78" i="5"/>
  <c r="B19" i="4"/>
  <c r="B40" i="5" s="1"/>
  <c r="B48" i="5" s="1"/>
  <c r="B115" i="5"/>
  <c r="B94" i="5"/>
  <c r="B34" i="4"/>
  <c r="B22" i="5"/>
  <c r="B186" i="4"/>
  <c r="B179" i="4"/>
  <c r="B172" i="4"/>
  <c r="B165" i="4"/>
  <c r="B156" i="4"/>
  <c r="B149" i="4"/>
  <c r="B142" i="4"/>
  <c r="B135" i="4"/>
  <c r="B126" i="4"/>
  <c r="B119" i="4"/>
  <c r="B112" i="4"/>
  <c r="B105" i="4"/>
  <c r="B96" i="4"/>
  <c r="B89" i="4"/>
  <c r="B82" i="4"/>
  <c r="B75" i="4"/>
  <c r="B66" i="4"/>
  <c r="B18" i="4"/>
  <c r="B45" i="4"/>
  <c r="B59" i="4"/>
  <c r="B52" i="4"/>
  <c r="G97" i="5"/>
  <c r="H118" i="5"/>
  <c r="H104" i="5"/>
  <c r="H90" i="5"/>
  <c r="G104" i="5"/>
  <c r="H97" i="5"/>
  <c r="G111" i="5"/>
  <c r="G118" i="5"/>
  <c r="G90" i="5"/>
  <c r="H111" i="5"/>
  <c r="AJ111" i="5"/>
  <c r="AJ90" i="5"/>
  <c r="AJ118" i="5"/>
  <c r="AJ104" i="5"/>
  <c r="AJ97" i="5"/>
  <c r="R90" i="5"/>
  <c r="V111" i="5"/>
  <c r="AI111" i="5"/>
  <c r="AI104" i="5"/>
  <c r="O118" i="5"/>
  <c r="S118" i="5"/>
  <c r="S90" i="5"/>
  <c r="M104" i="5"/>
  <c r="M97" i="5"/>
  <c r="R104" i="5"/>
  <c r="V104" i="5"/>
  <c r="L97" i="5"/>
  <c r="L90" i="5"/>
  <c r="R111" i="5"/>
  <c r="V97" i="5"/>
  <c r="O104" i="5"/>
  <c r="O90" i="5"/>
  <c r="S111" i="5"/>
  <c r="M90" i="5"/>
  <c r="AH118" i="5"/>
  <c r="AH104" i="5"/>
  <c r="R118" i="5"/>
  <c r="V118" i="5"/>
  <c r="L111" i="5"/>
  <c r="O111" i="5"/>
  <c r="S104" i="5"/>
  <c r="AF104" i="5"/>
  <c r="AF90" i="5"/>
  <c r="AH111" i="5"/>
  <c r="X90" i="5"/>
  <c r="AB118" i="5"/>
  <c r="AB111" i="5"/>
  <c r="T90" i="5"/>
  <c r="P111" i="5"/>
  <c r="P90" i="5"/>
  <c r="AE118" i="5"/>
  <c r="AE104" i="5"/>
  <c r="V90" i="5"/>
  <c r="L118" i="5"/>
  <c r="AI118" i="5"/>
  <c r="AI97" i="5"/>
  <c r="O97" i="5"/>
  <c r="S97" i="5"/>
  <c r="M111" i="5"/>
  <c r="AF111" i="5"/>
  <c r="AH97" i="5"/>
  <c r="X104" i="5"/>
  <c r="AB97" i="5"/>
  <c r="T111" i="5"/>
  <c r="T118" i="5"/>
  <c r="AE97" i="5"/>
  <c r="AE90" i="5"/>
  <c r="AI90" i="5"/>
  <c r="AF97" i="5"/>
  <c r="AB90" i="5"/>
  <c r="T104" i="5"/>
  <c r="T97" i="5"/>
  <c r="P97" i="5"/>
  <c r="AE111" i="5"/>
  <c r="K97" i="5"/>
  <c r="K104" i="5"/>
  <c r="N104" i="5"/>
  <c r="N97" i="5"/>
  <c r="U104" i="5"/>
  <c r="AC104" i="5"/>
  <c r="AC97" i="5"/>
  <c r="I90" i="5"/>
  <c r="W104" i="5"/>
  <c r="W97" i="5"/>
  <c r="AG104" i="5"/>
  <c r="AD111" i="5"/>
  <c r="AD97" i="5"/>
  <c r="AD90" i="5"/>
  <c r="J104" i="5"/>
  <c r="R97" i="5"/>
  <c r="AH90" i="5"/>
  <c r="X111" i="5"/>
  <c r="Q104" i="5"/>
  <c r="K118" i="5"/>
  <c r="K111" i="5"/>
  <c r="N111" i="5"/>
  <c r="AC118" i="5"/>
  <c r="AC111" i="5"/>
  <c r="Y118" i="5"/>
  <c r="L104" i="5"/>
  <c r="M118" i="5"/>
  <c r="X97" i="5"/>
  <c r="AB104" i="5"/>
  <c r="K90" i="5"/>
  <c r="N90" i="5"/>
  <c r="U97" i="5"/>
  <c r="Y104" i="5"/>
  <c r="Y111" i="5"/>
  <c r="Y90" i="5"/>
  <c r="I118" i="5"/>
  <c r="I111" i="5"/>
  <c r="W118" i="5"/>
  <c r="Q118" i="5"/>
  <c r="Y97" i="5"/>
  <c r="W111" i="5"/>
  <c r="AA104" i="5"/>
  <c r="AG111" i="5"/>
  <c r="AG97" i="5"/>
  <c r="Z118" i="5"/>
  <c r="Z111" i="5"/>
  <c r="X118" i="5"/>
  <c r="P104" i="5"/>
  <c r="Q111" i="5"/>
  <c r="Q90" i="5"/>
  <c r="U90" i="5"/>
  <c r="AC90" i="5"/>
  <c r="I104" i="5"/>
  <c r="Z97" i="5"/>
  <c r="AD118" i="5"/>
  <c r="AD104" i="5"/>
  <c r="J111" i="5"/>
  <c r="J97" i="5"/>
  <c r="J90" i="5"/>
  <c r="AA118" i="5"/>
  <c r="AA111" i="5"/>
  <c r="AG90" i="5"/>
  <c r="Z104" i="5"/>
  <c r="AF118" i="5"/>
  <c r="P118" i="5"/>
  <c r="Q97" i="5"/>
  <c r="N118" i="5"/>
  <c r="U118" i="5"/>
  <c r="U111" i="5"/>
  <c r="AG118" i="5"/>
  <c r="I97" i="5"/>
  <c r="AA90" i="5"/>
  <c r="W90" i="5"/>
  <c r="AA97" i="5"/>
  <c r="Z90" i="5"/>
  <c r="J118" i="5"/>
  <c r="G94" i="5"/>
  <c r="H115" i="5"/>
  <c r="H101" i="5"/>
  <c r="G115" i="5"/>
  <c r="H87" i="5"/>
  <c r="G87" i="5"/>
  <c r="G101" i="5"/>
  <c r="H108" i="5"/>
  <c r="H94" i="5"/>
  <c r="G108" i="5"/>
  <c r="AJ115" i="5"/>
  <c r="AJ101" i="5"/>
  <c r="AJ108" i="5"/>
  <c r="AJ94" i="5"/>
  <c r="AJ87" i="5"/>
  <c r="V108" i="5"/>
  <c r="L108" i="5"/>
  <c r="L94" i="5"/>
  <c r="L87" i="5"/>
  <c r="O108" i="5"/>
  <c r="S115" i="5"/>
  <c r="S108" i="5"/>
  <c r="M115" i="5"/>
  <c r="R108" i="5"/>
  <c r="V101" i="5"/>
  <c r="L115" i="5"/>
  <c r="L101" i="5"/>
  <c r="AI108" i="5"/>
  <c r="AI94" i="5"/>
  <c r="AI87" i="5"/>
  <c r="O115" i="5"/>
  <c r="O101" i="5"/>
  <c r="AI115" i="5"/>
  <c r="O87" i="5"/>
  <c r="S87" i="5"/>
  <c r="AF94" i="5"/>
  <c r="AH115" i="5"/>
  <c r="R101" i="5"/>
  <c r="V115" i="5"/>
  <c r="V94" i="5"/>
  <c r="O94" i="5"/>
  <c r="S94" i="5"/>
  <c r="S101" i="5"/>
  <c r="M108" i="5"/>
  <c r="M94" i="5"/>
  <c r="M87" i="5"/>
  <c r="AF108" i="5"/>
  <c r="AF87" i="5"/>
  <c r="AH94" i="5"/>
  <c r="AH87" i="5"/>
  <c r="X101" i="5"/>
  <c r="X108" i="5"/>
  <c r="T115" i="5"/>
  <c r="P115" i="5"/>
  <c r="P101" i="5"/>
  <c r="P94" i="5"/>
  <c r="AE115" i="5"/>
  <c r="AE101" i="5"/>
  <c r="R115" i="5"/>
  <c r="R94" i="5"/>
  <c r="R87" i="5"/>
  <c r="AI101" i="5"/>
  <c r="M101" i="5"/>
  <c r="AF115" i="5"/>
  <c r="AF101" i="5"/>
  <c r="AH108" i="5"/>
  <c r="AH101" i="5"/>
  <c r="X87" i="5"/>
  <c r="AB101" i="5"/>
  <c r="AB94" i="5"/>
  <c r="T101" i="5"/>
  <c r="T108" i="5"/>
  <c r="P87" i="5"/>
  <c r="AE108" i="5"/>
  <c r="AE94" i="5"/>
  <c r="Q94" i="5"/>
  <c r="K87" i="5"/>
  <c r="AC94" i="5"/>
  <c r="Y87" i="5"/>
  <c r="I115" i="5"/>
  <c r="I101" i="5"/>
  <c r="W115" i="5"/>
  <c r="AA94" i="5"/>
  <c r="AG108" i="5"/>
  <c r="AG94" i="5"/>
  <c r="AG87" i="5"/>
  <c r="Z108" i="5"/>
  <c r="AD115" i="5"/>
  <c r="J87" i="5"/>
  <c r="X115" i="5"/>
  <c r="T87" i="5"/>
  <c r="P108" i="5"/>
  <c r="Q101" i="5"/>
  <c r="Q87" i="5"/>
  <c r="K115" i="5"/>
  <c r="N115" i="5"/>
  <c r="N94" i="5"/>
  <c r="N87" i="5"/>
  <c r="U94" i="5"/>
  <c r="AC108" i="5"/>
  <c r="Y101" i="5"/>
  <c r="V87" i="5"/>
  <c r="Q108" i="5"/>
  <c r="K108" i="5"/>
  <c r="K94" i="5"/>
  <c r="U115" i="5"/>
  <c r="U101" i="5"/>
  <c r="U87" i="5"/>
  <c r="AC87" i="5"/>
  <c r="Y108" i="5"/>
  <c r="W101" i="5"/>
  <c r="AB115" i="5"/>
  <c r="AB108" i="5"/>
  <c r="T94" i="5"/>
  <c r="Y115" i="5"/>
  <c r="Y94" i="5"/>
  <c r="I94" i="5"/>
  <c r="AA115" i="5"/>
  <c r="AG101" i="5"/>
  <c r="AD101" i="5"/>
  <c r="AD87" i="5"/>
  <c r="J115" i="5"/>
  <c r="J108" i="5"/>
  <c r="J101" i="5"/>
  <c r="AC115" i="5"/>
  <c r="I87" i="5"/>
  <c r="W94" i="5"/>
  <c r="AA87" i="5"/>
  <c r="AG115" i="5"/>
  <c r="X94" i="5"/>
  <c r="AB87" i="5"/>
  <c r="AE87" i="5"/>
  <c r="Q115" i="5"/>
  <c r="K101" i="5"/>
  <c r="W108" i="5"/>
  <c r="Z101" i="5"/>
  <c r="Z94" i="5"/>
  <c r="N108" i="5"/>
  <c r="N101" i="5"/>
  <c r="U108" i="5"/>
  <c r="AC101" i="5"/>
  <c r="I108" i="5"/>
  <c r="Z87" i="5"/>
  <c r="AD108" i="5"/>
  <c r="J94" i="5"/>
  <c r="AA101" i="5"/>
  <c r="W87" i="5"/>
  <c r="Z115" i="5"/>
  <c r="AA108" i="5"/>
  <c r="AD94" i="5"/>
  <c r="G103" i="5"/>
  <c r="H117" i="5"/>
  <c r="H103" i="5"/>
  <c r="G110" i="5"/>
  <c r="H89" i="5"/>
  <c r="G117" i="5"/>
  <c r="G89" i="5"/>
  <c r="G96" i="5"/>
  <c r="H110" i="5"/>
  <c r="H96" i="5"/>
  <c r="AJ96" i="5"/>
  <c r="AJ110" i="5"/>
  <c r="AJ117" i="5"/>
  <c r="AJ103" i="5"/>
  <c r="AJ89" i="5"/>
  <c r="R117" i="5"/>
  <c r="R96" i="5"/>
  <c r="R89" i="5"/>
  <c r="V117" i="5"/>
  <c r="V96" i="5"/>
  <c r="V89" i="5"/>
  <c r="L110" i="5"/>
  <c r="AI110" i="5"/>
  <c r="O96" i="5"/>
  <c r="S110" i="5"/>
  <c r="S96" i="5"/>
  <c r="S103" i="5"/>
  <c r="M110" i="5"/>
  <c r="R103" i="5"/>
  <c r="L96" i="5"/>
  <c r="L89" i="5"/>
  <c r="AI117" i="5"/>
  <c r="AI89" i="5"/>
  <c r="L117" i="5"/>
  <c r="L103" i="5"/>
  <c r="O103" i="5"/>
  <c r="M96" i="5"/>
  <c r="M89" i="5"/>
  <c r="AF110" i="5"/>
  <c r="AH110" i="5"/>
  <c r="AH96" i="5"/>
  <c r="AH89" i="5"/>
  <c r="R110" i="5"/>
  <c r="O117" i="5"/>
  <c r="S117" i="5"/>
  <c r="M117" i="5"/>
  <c r="AF96" i="5"/>
  <c r="X110" i="5"/>
  <c r="AB117" i="5"/>
  <c r="AB96" i="5"/>
  <c r="T89" i="5"/>
  <c r="P96" i="5"/>
  <c r="P89" i="5"/>
  <c r="AE103" i="5"/>
  <c r="AI96" i="5"/>
  <c r="AI103" i="5"/>
  <c r="O110" i="5"/>
  <c r="S89" i="5"/>
  <c r="M103" i="5"/>
  <c r="X117" i="5"/>
  <c r="AB89" i="5"/>
  <c r="T96" i="5"/>
  <c r="AE96" i="5"/>
  <c r="AF117" i="5"/>
  <c r="AF89" i="5"/>
  <c r="X89" i="5"/>
  <c r="T110" i="5"/>
  <c r="AE117" i="5"/>
  <c r="AE89" i="5"/>
  <c r="Q89" i="5"/>
  <c r="K117" i="5"/>
  <c r="K103" i="5"/>
  <c r="N117" i="5"/>
  <c r="N110" i="5"/>
  <c r="N96" i="5"/>
  <c r="N89" i="5"/>
  <c r="U96" i="5"/>
  <c r="AC110" i="5"/>
  <c r="Y103" i="5"/>
  <c r="I110" i="5"/>
  <c r="I96" i="5"/>
  <c r="W89" i="5"/>
  <c r="AA89" i="5"/>
  <c r="Z103" i="5"/>
  <c r="Z89" i="5"/>
  <c r="AD103" i="5"/>
  <c r="AD96" i="5"/>
  <c r="AD89" i="5"/>
  <c r="O89" i="5"/>
  <c r="AF103" i="5"/>
  <c r="AH103" i="5"/>
  <c r="X103" i="5"/>
  <c r="P117" i="5"/>
  <c r="P103" i="5"/>
  <c r="Q117" i="5"/>
  <c r="Q110" i="5"/>
  <c r="K89" i="5"/>
  <c r="N103" i="5"/>
  <c r="U110" i="5"/>
  <c r="AC117" i="5"/>
  <c r="Y117" i="5"/>
  <c r="Y96" i="5"/>
  <c r="V110" i="5"/>
  <c r="V103" i="5"/>
  <c r="AB110" i="5"/>
  <c r="T103" i="5"/>
  <c r="P110" i="5"/>
  <c r="Q96" i="5"/>
  <c r="AC103" i="5"/>
  <c r="AC96" i="5"/>
  <c r="Y89" i="5"/>
  <c r="I117" i="5"/>
  <c r="I103" i="5"/>
  <c r="W117" i="5"/>
  <c r="AH117" i="5"/>
  <c r="X96" i="5"/>
  <c r="T117" i="5"/>
  <c r="K96" i="5"/>
  <c r="U103" i="5"/>
  <c r="Y110" i="5"/>
  <c r="I89" i="5"/>
  <c r="W96" i="5"/>
  <c r="AA103" i="5"/>
  <c r="AG117" i="5"/>
  <c r="AD110" i="5"/>
  <c r="AE110" i="5"/>
  <c r="K110" i="5"/>
  <c r="U117" i="5"/>
  <c r="W110" i="5"/>
  <c r="AA110" i="5"/>
  <c r="AG110" i="5"/>
  <c r="AG103" i="5"/>
  <c r="AG96" i="5"/>
  <c r="Z110" i="5"/>
  <c r="Z96" i="5"/>
  <c r="AD117" i="5"/>
  <c r="AB103" i="5"/>
  <c r="Q103" i="5"/>
  <c r="U89" i="5"/>
  <c r="AC89" i="5"/>
  <c r="W103" i="5"/>
  <c r="Z117" i="5"/>
  <c r="AA117" i="5"/>
  <c r="J89" i="5"/>
  <c r="AG89" i="5"/>
  <c r="J110" i="5"/>
  <c r="AA96" i="5"/>
  <c r="J117" i="5"/>
  <c r="J103" i="5"/>
  <c r="J96" i="5"/>
  <c r="P28" i="15"/>
  <c r="P30" i="15"/>
  <c r="O29" i="15"/>
  <c r="B16" i="11"/>
  <c r="G176" i="13" l="1"/>
  <c r="F96" i="5"/>
  <c r="F117" i="5"/>
  <c r="F108" i="5"/>
  <c r="F87" i="5"/>
  <c r="F118" i="5"/>
  <c r="F95" i="5"/>
  <c r="F103" i="5"/>
  <c r="F94" i="5"/>
  <c r="F111" i="5"/>
  <c r="F115" i="5"/>
  <c r="F88" i="5"/>
  <c r="F102" i="5"/>
  <c r="F110" i="5"/>
  <c r="F89" i="5"/>
  <c r="F101" i="5"/>
  <c r="F90" i="5"/>
  <c r="F104" i="5"/>
  <c r="F97" i="5"/>
  <c r="F109" i="5"/>
  <c r="F116" i="5"/>
  <c r="W15" i="5"/>
  <c r="L17" i="5"/>
  <c r="S15" i="5"/>
  <c r="Z18" i="5"/>
  <c r="M16" i="5"/>
  <c r="Z15" i="5"/>
  <c r="T15" i="5"/>
  <c r="Y18" i="5"/>
  <c r="V18" i="5"/>
  <c r="I16" i="5"/>
  <c r="O16" i="5"/>
  <c r="U17" i="5"/>
  <c r="AB15" i="5"/>
  <c r="L15" i="5"/>
  <c r="J18" i="5"/>
  <c r="X17" i="5"/>
  <c r="K18" i="5"/>
  <c r="AI18" i="5"/>
  <c r="Y17" i="5"/>
  <c r="AJ17" i="5"/>
  <c r="AJ15" i="5"/>
  <c r="U18" i="5"/>
  <c r="I17" i="5"/>
  <c r="O17" i="5"/>
  <c r="X16" i="5"/>
  <c r="T17" i="5"/>
  <c r="G17" i="5"/>
  <c r="G18" i="5"/>
  <c r="K16" i="5"/>
  <c r="W17" i="5"/>
  <c r="Q17" i="5"/>
  <c r="AH17" i="5"/>
  <c r="R17" i="5"/>
  <c r="I15" i="5"/>
  <c r="V15" i="5"/>
  <c r="N15" i="5"/>
  <c r="Q15" i="5"/>
  <c r="AG15" i="5"/>
  <c r="AH15" i="5"/>
  <c r="M15" i="5"/>
  <c r="O15" i="5"/>
  <c r="AI15" i="5"/>
  <c r="G15" i="5"/>
  <c r="AG18" i="5"/>
  <c r="Q18" i="5"/>
  <c r="AD18" i="5"/>
  <c r="T18" i="5"/>
  <c r="O18" i="5"/>
  <c r="L18" i="5"/>
  <c r="R18" i="5"/>
  <c r="AJ18" i="5"/>
  <c r="H18" i="5"/>
  <c r="AC16" i="5"/>
  <c r="AD16" i="5"/>
  <c r="U16" i="5"/>
  <c r="Q16" i="5"/>
  <c r="Z16" i="5"/>
  <c r="AA16" i="5"/>
  <c r="P16" i="5"/>
  <c r="R16" i="5"/>
  <c r="AA17" i="5"/>
  <c r="S17" i="5"/>
  <c r="AE17" i="5"/>
  <c r="AF17" i="5"/>
  <c r="AB17" i="5"/>
  <c r="P17" i="5"/>
  <c r="AI17" i="5"/>
  <c r="V17" i="5"/>
  <c r="H17" i="5"/>
  <c r="AD15" i="5"/>
  <c r="AC15" i="5"/>
  <c r="J15" i="5"/>
  <c r="K15" i="5"/>
  <c r="P15" i="5"/>
  <c r="R15" i="5"/>
  <c r="H15" i="5"/>
  <c r="W18" i="5"/>
  <c r="AH18" i="5"/>
  <c r="AE18" i="5"/>
  <c r="AF18" i="5"/>
  <c r="AE16" i="5"/>
  <c r="W16" i="5"/>
  <c r="J16" i="5"/>
  <c r="S16" i="5"/>
  <c r="AI16" i="5"/>
  <c r="AJ16" i="5"/>
  <c r="G16" i="5"/>
  <c r="Y15" i="5"/>
  <c r="N18" i="5"/>
  <c r="X18" i="5"/>
  <c r="AB16" i="5"/>
  <c r="M17" i="5"/>
  <c r="B116" i="5"/>
  <c r="B95" i="5"/>
  <c r="B79" i="5"/>
  <c r="B23" i="5"/>
  <c r="B72" i="5"/>
  <c r="B88" i="5"/>
  <c r="B109" i="5"/>
  <c r="B102" i="5"/>
  <c r="B35" i="4"/>
  <c r="B16" i="5"/>
  <c r="B187" i="4"/>
  <c r="B173" i="4"/>
  <c r="B143" i="4"/>
  <c r="B113" i="4"/>
  <c r="B83" i="4"/>
  <c r="B166" i="4"/>
  <c r="B136" i="4"/>
  <c r="B180" i="4"/>
  <c r="B150" i="4"/>
  <c r="B120" i="4"/>
  <c r="B90" i="4"/>
  <c r="B60" i="4"/>
  <c r="B53" i="4"/>
  <c r="B46" i="4"/>
  <c r="B20" i="4"/>
  <c r="B41" i="5" s="1"/>
  <c r="B49" i="5" s="1"/>
  <c r="B157" i="4"/>
  <c r="B127" i="4"/>
  <c r="B97" i="4"/>
  <c r="B67" i="4"/>
  <c r="B106" i="4"/>
  <c r="B76" i="4"/>
  <c r="AG17" i="5"/>
  <c r="K17" i="5"/>
  <c r="Z17" i="5"/>
  <c r="J17" i="5"/>
  <c r="AC17" i="5"/>
  <c r="AD17" i="5"/>
  <c r="N17" i="5"/>
  <c r="AE15" i="5"/>
  <c r="AA15" i="5"/>
  <c r="U15" i="5"/>
  <c r="X15" i="5"/>
  <c r="AF15" i="5"/>
  <c r="AA18" i="5"/>
  <c r="AC18" i="5"/>
  <c r="I18" i="5"/>
  <c r="AB18" i="5"/>
  <c r="P18" i="5"/>
  <c r="M18" i="5"/>
  <c r="S18" i="5"/>
  <c r="Y16" i="5"/>
  <c r="AG16" i="5"/>
  <c r="N16" i="5"/>
  <c r="T16" i="5"/>
  <c r="AF16" i="5"/>
  <c r="L16" i="5"/>
  <c r="AH16" i="5"/>
  <c r="V16" i="5"/>
  <c r="H16" i="5"/>
  <c r="P29" i="15"/>
  <c r="Q30" i="15"/>
  <c r="Q28" i="15"/>
  <c r="B17" i="11"/>
  <c r="D37" i="13" l="1" a="1"/>
  <c r="D37" i="13" s="1"/>
  <c r="F15" i="5"/>
  <c r="D38" i="13" a="1"/>
  <c r="D39" i="13" a="1"/>
  <c r="D36" i="13" a="1"/>
  <c r="D35" i="13" a="1"/>
  <c r="H176" i="13"/>
  <c r="F18" i="5"/>
  <c r="F17" i="5"/>
  <c r="F16" i="5"/>
  <c r="B110" i="5"/>
  <c r="B103" i="5"/>
  <c r="B89" i="5"/>
  <c r="B73" i="5"/>
  <c r="B17" i="5"/>
  <c r="B117" i="5"/>
  <c r="B24" i="5"/>
  <c r="B36" i="4"/>
  <c r="B80" i="5"/>
  <c r="B96" i="5"/>
  <c r="B21" i="4"/>
  <c r="B42" i="5" s="1"/>
  <c r="B50" i="5" s="1"/>
  <c r="B188" i="4"/>
  <c r="B181" i="4"/>
  <c r="B174" i="4"/>
  <c r="B167" i="4"/>
  <c r="B158" i="4"/>
  <c r="B151" i="4"/>
  <c r="B144" i="4"/>
  <c r="B137" i="4"/>
  <c r="B128" i="4"/>
  <c r="B121" i="4"/>
  <c r="B114" i="4"/>
  <c r="B107" i="4"/>
  <c r="B98" i="4"/>
  <c r="B91" i="4"/>
  <c r="B84" i="4"/>
  <c r="B77" i="4"/>
  <c r="B68" i="4"/>
  <c r="B61" i="4"/>
  <c r="B54" i="4"/>
  <c r="B47" i="4"/>
  <c r="R28" i="15"/>
  <c r="Q29" i="15"/>
  <c r="R30" i="15"/>
  <c r="B18" i="11"/>
  <c r="F37" i="13" l="1"/>
  <c r="E37" i="13"/>
  <c r="G37" i="13"/>
  <c r="D35" i="13"/>
  <c r="G35" i="13"/>
  <c r="F35" i="13"/>
  <c r="E35" i="13"/>
  <c r="D36" i="13"/>
  <c r="G36" i="13"/>
  <c r="F36" i="13"/>
  <c r="E36" i="13"/>
  <c r="D39" i="13"/>
  <c r="F39" i="13"/>
  <c r="G39" i="13"/>
  <c r="E39" i="13"/>
  <c r="G38" i="13"/>
  <c r="D38" i="13"/>
  <c r="F38" i="13"/>
  <c r="E38" i="13"/>
  <c r="I176" i="13"/>
  <c r="B118" i="5"/>
  <c r="B97" i="5"/>
  <c r="B81" i="5"/>
  <c r="B25" i="5"/>
  <c r="B111" i="5"/>
  <c r="B18" i="5"/>
  <c r="B74" i="5"/>
  <c r="B90" i="5"/>
  <c r="B104" i="5"/>
  <c r="B189" i="4"/>
  <c r="B168" i="4"/>
  <c r="B138" i="4"/>
  <c r="B108" i="4"/>
  <c r="B78" i="4"/>
  <c r="B37" i="4"/>
  <c r="B22" i="4"/>
  <c r="B43" i="5" s="1"/>
  <c r="B51" i="5" s="1"/>
  <c r="B62" i="4"/>
  <c r="B159" i="4"/>
  <c r="B129" i="4"/>
  <c r="B175" i="4"/>
  <c r="B145" i="4"/>
  <c r="B115" i="4"/>
  <c r="B85" i="4"/>
  <c r="B55" i="4"/>
  <c r="B48" i="4"/>
  <c r="B182" i="4"/>
  <c r="B152" i="4"/>
  <c r="B122" i="4"/>
  <c r="B92" i="4"/>
  <c r="B99" i="4"/>
  <c r="B69" i="4"/>
  <c r="R29" i="15"/>
  <c r="S30" i="15"/>
  <c r="S28" i="15"/>
  <c r="J176" i="13" l="1"/>
  <c r="T28" i="15"/>
  <c r="T30" i="15"/>
  <c r="S29" i="15"/>
  <c r="V27" i="15"/>
  <c r="G12" i="6"/>
  <c r="K176" i="13" l="1"/>
  <c r="W27" i="15"/>
  <c r="T29" i="15"/>
  <c r="U30" i="15"/>
  <c r="U28" i="15"/>
  <c r="L176" i="13" l="1"/>
  <c r="U29" i="15"/>
  <c r="V28" i="15"/>
  <c r="V30" i="15"/>
  <c r="X27" i="15"/>
  <c r="I13" i="4"/>
  <c r="J13" i="4" s="1"/>
  <c r="I12" i="4"/>
  <c r="J12" i="4" s="1"/>
  <c r="D47" i="5"/>
  <c r="C39" i="5"/>
  <c r="M176" i="13" l="1"/>
  <c r="AI43" i="5"/>
  <c r="AE43" i="5"/>
  <c r="AA43" i="5"/>
  <c r="W43" i="5"/>
  <c r="S43" i="5"/>
  <c r="O43" i="5"/>
  <c r="K43" i="5"/>
  <c r="G43" i="5"/>
  <c r="AH42" i="5"/>
  <c r="AD42" i="5"/>
  <c r="Z42" i="5"/>
  <c r="V42" i="5"/>
  <c r="R42" i="5"/>
  <c r="N42" i="5"/>
  <c r="J42" i="5"/>
  <c r="AK41" i="5"/>
  <c r="AG41" i="5"/>
  <c r="AC41" i="5"/>
  <c r="Y41" i="5"/>
  <c r="U41" i="5"/>
  <c r="Q41" i="5"/>
  <c r="M41" i="5"/>
  <c r="I41" i="5"/>
  <c r="AJ40" i="5"/>
  <c r="AF40" i="5"/>
  <c r="AB40" i="5"/>
  <c r="X40" i="5"/>
  <c r="T40" i="5"/>
  <c r="P40" i="5"/>
  <c r="L40" i="5"/>
  <c r="H40" i="5"/>
  <c r="AI39" i="5"/>
  <c r="AE39" i="5"/>
  <c r="AA39" i="5"/>
  <c r="W39" i="5"/>
  <c r="S39" i="5"/>
  <c r="O39" i="5"/>
  <c r="K39" i="5"/>
  <c r="AH43" i="5"/>
  <c r="AD43" i="5"/>
  <c r="Z43" i="5"/>
  <c r="V43" i="5"/>
  <c r="R43" i="5"/>
  <c r="N43" i="5"/>
  <c r="J43" i="5"/>
  <c r="AK42" i="5"/>
  <c r="AG42" i="5"/>
  <c r="AC42" i="5"/>
  <c r="Y42" i="5"/>
  <c r="U42" i="5"/>
  <c r="Q42" i="5"/>
  <c r="M42" i="5"/>
  <c r="I42" i="5"/>
  <c r="AJ41" i="5"/>
  <c r="AF41" i="5"/>
  <c r="AB41" i="5"/>
  <c r="X41" i="5"/>
  <c r="T41" i="5"/>
  <c r="P41" i="5"/>
  <c r="L41" i="5"/>
  <c r="H41" i="5"/>
  <c r="AI40" i="5"/>
  <c r="AE40" i="5"/>
  <c r="AA40" i="5"/>
  <c r="W40" i="5"/>
  <c r="S40" i="5"/>
  <c r="O40" i="5"/>
  <c r="K40" i="5"/>
  <c r="G40" i="5"/>
  <c r="AH39" i="5"/>
  <c r="AD39" i="5"/>
  <c r="Z39" i="5"/>
  <c r="V39" i="5"/>
  <c r="R39" i="5"/>
  <c r="N39" i="5"/>
  <c r="J39" i="5"/>
  <c r="AK43" i="5"/>
  <c r="AG43" i="5"/>
  <c r="AC43" i="5"/>
  <c r="Y43" i="5"/>
  <c r="U43" i="5"/>
  <c r="Q43" i="5"/>
  <c r="M43" i="5"/>
  <c r="I43" i="5"/>
  <c r="AJ42" i="5"/>
  <c r="AF42" i="5"/>
  <c r="AB42" i="5"/>
  <c r="X42" i="5"/>
  <c r="T42" i="5"/>
  <c r="P42" i="5"/>
  <c r="L42" i="5"/>
  <c r="H42" i="5"/>
  <c r="AI41" i="5"/>
  <c r="AE41" i="5"/>
  <c r="AA41" i="5"/>
  <c r="W41" i="5"/>
  <c r="S41" i="5"/>
  <c r="O41" i="5"/>
  <c r="K41" i="5"/>
  <c r="G41" i="5"/>
  <c r="AH40" i="5"/>
  <c r="AD40" i="5"/>
  <c r="Z40" i="5"/>
  <c r="V40" i="5"/>
  <c r="R40" i="5"/>
  <c r="N40" i="5"/>
  <c r="J40" i="5"/>
  <c r="AK39" i="5"/>
  <c r="AG39" i="5"/>
  <c r="AC39" i="5"/>
  <c r="Y39" i="5"/>
  <c r="U39" i="5"/>
  <c r="Q39" i="5"/>
  <c r="M39" i="5"/>
  <c r="I39" i="5"/>
  <c r="AJ43" i="5"/>
  <c r="AF43" i="5"/>
  <c r="AB43" i="5"/>
  <c r="X43" i="5"/>
  <c r="T43" i="5"/>
  <c r="P43" i="5"/>
  <c r="L43" i="5"/>
  <c r="H43" i="5"/>
  <c r="AI42" i="5"/>
  <c r="AE42" i="5"/>
  <c r="AA42" i="5"/>
  <c r="W42" i="5"/>
  <c r="S42" i="5"/>
  <c r="O42" i="5"/>
  <c r="K42" i="5"/>
  <c r="G42" i="5"/>
  <c r="AH41" i="5"/>
  <c r="AD41" i="5"/>
  <c r="Z41" i="5"/>
  <c r="V41" i="5"/>
  <c r="R41" i="5"/>
  <c r="N41" i="5"/>
  <c r="J41" i="5"/>
  <c r="AK40" i="5"/>
  <c r="AG40" i="5"/>
  <c r="AC40" i="5"/>
  <c r="Y40" i="5"/>
  <c r="U40" i="5"/>
  <c r="Q40" i="5"/>
  <c r="M40" i="5"/>
  <c r="I40" i="5"/>
  <c r="AJ39" i="5"/>
  <c r="AF39" i="5"/>
  <c r="AB39" i="5"/>
  <c r="X39" i="5"/>
  <c r="T39" i="5"/>
  <c r="P39" i="5"/>
  <c r="L39" i="5"/>
  <c r="H39" i="5"/>
  <c r="AI51" i="5"/>
  <c r="AE51" i="5"/>
  <c r="AA51" i="5"/>
  <c r="W51" i="5"/>
  <c r="S51" i="5"/>
  <c r="O51" i="5"/>
  <c r="K51" i="5"/>
  <c r="G51" i="5"/>
  <c r="AG50" i="5"/>
  <c r="AC50" i="5"/>
  <c r="Y50" i="5"/>
  <c r="U50" i="5"/>
  <c r="Q50" i="5"/>
  <c r="M50" i="5"/>
  <c r="I50" i="5"/>
  <c r="AI49" i="5"/>
  <c r="AE49" i="5"/>
  <c r="AA49" i="5"/>
  <c r="W49" i="5"/>
  <c r="S49" i="5"/>
  <c r="O49" i="5"/>
  <c r="K49" i="5"/>
  <c r="G49" i="5"/>
  <c r="AG48" i="5"/>
  <c r="AC48" i="5"/>
  <c r="Y48" i="5"/>
  <c r="U48" i="5"/>
  <c r="Q48" i="5"/>
  <c r="M48" i="5"/>
  <c r="I48" i="5"/>
  <c r="AI47" i="5"/>
  <c r="AE47" i="5"/>
  <c r="AA47" i="5"/>
  <c r="W47" i="5"/>
  <c r="S47" i="5"/>
  <c r="O47" i="5"/>
  <c r="K47" i="5"/>
  <c r="AH51" i="5"/>
  <c r="AD51" i="5"/>
  <c r="Z51" i="5"/>
  <c r="V51" i="5"/>
  <c r="R51" i="5"/>
  <c r="N51" i="5"/>
  <c r="J51" i="5"/>
  <c r="AJ50" i="5"/>
  <c r="AF50" i="5"/>
  <c r="AB50" i="5"/>
  <c r="X50" i="5"/>
  <c r="T50" i="5"/>
  <c r="P50" i="5"/>
  <c r="L50" i="5"/>
  <c r="H50" i="5"/>
  <c r="AH49" i="5"/>
  <c r="AD49" i="5"/>
  <c r="Z49" i="5"/>
  <c r="V49" i="5"/>
  <c r="R49" i="5"/>
  <c r="N49" i="5"/>
  <c r="J49" i="5"/>
  <c r="AJ48" i="5"/>
  <c r="AF48" i="5"/>
  <c r="AB48" i="5"/>
  <c r="X48" i="5"/>
  <c r="T48" i="5"/>
  <c r="P48" i="5"/>
  <c r="L48" i="5"/>
  <c r="H48" i="5"/>
  <c r="AH47" i="5"/>
  <c r="AD47" i="5"/>
  <c r="Z47" i="5"/>
  <c r="V47" i="5"/>
  <c r="R47" i="5"/>
  <c r="N47" i="5"/>
  <c r="J47" i="5"/>
  <c r="AG51" i="5"/>
  <c r="AC51" i="5"/>
  <c r="Y51" i="5"/>
  <c r="U51" i="5"/>
  <c r="Q51" i="5"/>
  <c r="M51" i="5"/>
  <c r="I51" i="5"/>
  <c r="AI50" i="5"/>
  <c r="AE50" i="5"/>
  <c r="AA50" i="5"/>
  <c r="W50" i="5"/>
  <c r="S50" i="5"/>
  <c r="O50" i="5"/>
  <c r="K50" i="5"/>
  <c r="G50" i="5"/>
  <c r="AG49" i="5"/>
  <c r="AC49" i="5"/>
  <c r="Y49" i="5"/>
  <c r="U49" i="5"/>
  <c r="Q49" i="5"/>
  <c r="M49" i="5"/>
  <c r="I49" i="5"/>
  <c r="AI48" i="5"/>
  <c r="AE48" i="5"/>
  <c r="AA48" i="5"/>
  <c r="W48" i="5"/>
  <c r="S48" i="5"/>
  <c r="O48" i="5"/>
  <c r="K48" i="5"/>
  <c r="G48" i="5"/>
  <c r="AG47" i="5"/>
  <c r="AC47" i="5"/>
  <c r="Y47" i="5"/>
  <c r="U47" i="5"/>
  <c r="Q47" i="5"/>
  <c r="M47" i="5"/>
  <c r="I47" i="5"/>
  <c r="AJ51" i="5"/>
  <c r="AF51" i="5"/>
  <c r="AB51" i="5"/>
  <c r="X51" i="5"/>
  <c r="T51" i="5"/>
  <c r="P51" i="5"/>
  <c r="L51" i="5"/>
  <c r="H51" i="5"/>
  <c r="AH50" i="5"/>
  <c r="AD50" i="5"/>
  <c r="Z50" i="5"/>
  <c r="V50" i="5"/>
  <c r="R50" i="5"/>
  <c r="N50" i="5"/>
  <c r="J50" i="5"/>
  <c r="AJ49" i="5"/>
  <c r="AF49" i="5"/>
  <c r="AB49" i="5"/>
  <c r="X49" i="5"/>
  <c r="T49" i="5"/>
  <c r="P49" i="5"/>
  <c r="L49" i="5"/>
  <c r="H49" i="5"/>
  <c r="AH48" i="5"/>
  <c r="AD48" i="5"/>
  <c r="Z48" i="5"/>
  <c r="V48" i="5"/>
  <c r="R48" i="5"/>
  <c r="N48" i="5"/>
  <c r="J48" i="5"/>
  <c r="AJ47" i="5"/>
  <c r="AF47" i="5"/>
  <c r="AB47" i="5"/>
  <c r="X47" i="5"/>
  <c r="T47" i="5"/>
  <c r="P47" i="5"/>
  <c r="L47" i="5"/>
  <c r="H47" i="5"/>
  <c r="G55" i="5"/>
  <c r="W30" i="15"/>
  <c r="W28" i="15"/>
  <c r="V29" i="15"/>
  <c r="AG67" i="5"/>
  <c r="AC67" i="5"/>
  <c r="Y67" i="5"/>
  <c r="U67" i="5"/>
  <c r="Q67" i="5"/>
  <c r="M67" i="5"/>
  <c r="I67" i="5"/>
  <c r="AI66" i="5"/>
  <c r="AE66" i="5"/>
  <c r="AA66" i="5"/>
  <c r="W66" i="5"/>
  <c r="S66" i="5"/>
  <c r="O66" i="5"/>
  <c r="K66" i="5"/>
  <c r="G66" i="5"/>
  <c r="AG65" i="5"/>
  <c r="AC65" i="5"/>
  <c r="Y65" i="5"/>
  <c r="U65" i="5"/>
  <c r="Q65" i="5"/>
  <c r="M65" i="5"/>
  <c r="I65" i="5"/>
  <c r="AI64" i="5"/>
  <c r="AE64" i="5"/>
  <c r="AA64" i="5"/>
  <c r="W64" i="5"/>
  <c r="S64" i="5"/>
  <c r="O64" i="5"/>
  <c r="K64" i="5"/>
  <c r="G64" i="5"/>
  <c r="AG63" i="5"/>
  <c r="AC63" i="5"/>
  <c r="Y63" i="5"/>
  <c r="U63" i="5"/>
  <c r="Q63" i="5"/>
  <c r="M63" i="5"/>
  <c r="I63" i="5"/>
  <c r="AJ67" i="5"/>
  <c r="AF67" i="5"/>
  <c r="AB67" i="5"/>
  <c r="X67" i="5"/>
  <c r="T67" i="5"/>
  <c r="P67" i="5"/>
  <c r="L67" i="5"/>
  <c r="H67" i="5"/>
  <c r="AH66" i="5"/>
  <c r="AD66" i="5"/>
  <c r="Z66" i="5"/>
  <c r="V66" i="5"/>
  <c r="R66" i="5"/>
  <c r="N66" i="5"/>
  <c r="J66" i="5"/>
  <c r="AJ65" i="5"/>
  <c r="AF65" i="5"/>
  <c r="AB65" i="5"/>
  <c r="X65" i="5"/>
  <c r="T65" i="5"/>
  <c r="P65" i="5"/>
  <c r="L65" i="5"/>
  <c r="H65" i="5"/>
  <c r="AH64" i="5"/>
  <c r="AD64" i="5"/>
  <c r="Z64" i="5"/>
  <c r="V64" i="5"/>
  <c r="R64" i="5"/>
  <c r="N64" i="5"/>
  <c r="J64" i="5"/>
  <c r="AJ63" i="5"/>
  <c r="AF63" i="5"/>
  <c r="AB63" i="5"/>
  <c r="X63" i="5"/>
  <c r="T63" i="5"/>
  <c r="P63" i="5"/>
  <c r="L63" i="5"/>
  <c r="H63" i="5"/>
  <c r="AD67" i="5"/>
  <c r="V67" i="5"/>
  <c r="N67" i="5"/>
  <c r="AJ66" i="5"/>
  <c r="AB66" i="5"/>
  <c r="T66" i="5"/>
  <c r="L66" i="5"/>
  <c r="AH65" i="5"/>
  <c r="Z65" i="5"/>
  <c r="R65" i="5"/>
  <c r="J65" i="5"/>
  <c r="AF64" i="5"/>
  <c r="X64" i="5"/>
  <c r="P64" i="5"/>
  <c r="H64" i="5"/>
  <c r="AD63" i="5"/>
  <c r="V63" i="5"/>
  <c r="N63" i="5"/>
  <c r="AH67" i="5"/>
  <c r="J67" i="5"/>
  <c r="P66" i="5"/>
  <c r="V65" i="5"/>
  <c r="AB64" i="5"/>
  <c r="T64" i="5"/>
  <c r="AH63" i="5"/>
  <c r="R63" i="5"/>
  <c r="AE67" i="5"/>
  <c r="O67" i="5"/>
  <c r="U66" i="5"/>
  <c r="AA65" i="5"/>
  <c r="K65" i="5"/>
  <c r="Q64" i="5"/>
  <c r="W63" i="5"/>
  <c r="G63" i="5"/>
  <c r="AI67" i="5"/>
  <c r="AA67" i="5"/>
  <c r="S67" i="5"/>
  <c r="K67" i="5"/>
  <c r="AG66" i="5"/>
  <c r="Y66" i="5"/>
  <c r="Q66" i="5"/>
  <c r="I66" i="5"/>
  <c r="AE65" i="5"/>
  <c r="W65" i="5"/>
  <c r="O65" i="5"/>
  <c r="G65" i="5"/>
  <c r="AC64" i="5"/>
  <c r="U64" i="5"/>
  <c r="M64" i="5"/>
  <c r="AI63" i="5"/>
  <c r="AA63" i="5"/>
  <c r="S63" i="5"/>
  <c r="K63" i="5"/>
  <c r="Z67" i="5"/>
  <c r="AF66" i="5"/>
  <c r="H66" i="5"/>
  <c r="N65" i="5"/>
  <c r="M66" i="5"/>
  <c r="AG64" i="5"/>
  <c r="I64" i="5"/>
  <c r="R67" i="5"/>
  <c r="X66" i="5"/>
  <c r="AD65" i="5"/>
  <c r="AJ64" i="5"/>
  <c r="L64" i="5"/>
  <c r="Z63" i="5"/>
  <c r="J63" i="5"/>
  <c r="W67" i="5"/>
  <c r="G67" i="5"/>
  <c r="AC66" i="5"/>
  <c r="AI65" i="5"/>
  <c r="S65" i="5"/>
  <c r="Y64" i="5"/>
  <c r="AE63" i="5"/>
  <c r="O63" i="5"/>
  <c r="AH59" i="5"/>
  <c r="AD59" i="5"/>
  <c r="Z59" i="5"/>
  <c r="V59" i="5"/>
  <c r="R59" i="5"/>
  <c r="N59" i="5"/>
  <c r="J59" i="5"/>
  <c r="AJ58" i="5"/>
  <c r="AF58" i="5"/>
  <c r="AB58" i="5"/>
  <c r="X58" i="5"/>
  <c r="T58" i="5"/>
  <c r="P58" i="5"/>
  <c r="L58" i="5"/>
  <c r="H58" i="5"/>
  <c r="AH57" i="5"/>
  <c r="AD57" i="5"/>
  <c r="Z57" i="5"/>
  <c r="V57" i="5"/>
  <c r="R57" i="5"/>
  <c r="N57" i="5"/>
  <c r="AG59" i="5"/>
  <c r="AB59" i="5"/>
  <c r="W59" i="5"/>
  <c r="Q59" i="5"/>
  <c r="L59" i="5"/>
  <c r="G59" i="5"/>
  <c r="AE58" i="5"/>
  <c r="Z58" i="5"/>
  <c r="U58" i="5"/>
  <c r="O58" i="5"/>
  <c r="J58" i="5"/>
  <c r="AI57" i="5"/>
  <c r="AC57" i="5"/>
  <c r="X57" i="5"/>
  <c r="S57" i="5"/>
  <c r="M57" i="5"/>
  <c r="I57" i="5"/>
  <c r="AI56" i="5"/>
  <c r="AE56" i="5"/>
  <c r="AA56" i="5"/>
  <c r="W56" i="5"/>
  <c r="S56" i="5"/>
  <c r="O56" i="5"/>
  <c r="K56" i="5"/>
  <c r="G56" i="5"/>
  <c r="AG55" i="5"/>
  <c r="AC55" i="5"/>
  <c r="Y55" i="5"/>
  <c r="U55" i="5"/>
  <c r="Q55" i="5"/>
  <c r="M55" i="5"/>
  <c r="I55" i="5"/>
  <c r="AF59" i="5"/>
  <c r="AA59" i="5"/>
  <c r="U59" i="5"/>
  <c r="P59" i="5"/>
  <c r="K59" i="5"/>
  <c r="AI58" i="5"/>
  <c r="AD58" i="5"/>
  <c r="Y58" i="5"/>
  <c r="S58" i="5"/>
  <c r="N58" i="5"/>
  <c r="I58" i="5"/>
  <c r="AG57" i="5"/>
  <c r="AB57" i="5"/>
  <c r="W57" i="5"/>
  <c r="Q57" i="5"/>
  <c r="L57" i="5"/>
  <c r="H57" i="5"/>
  <c r="AH56" i="5"/>
  <c r="AD56" i="5"/>
  <c r="Z56" i="5"/>
  <c r="V56" i="5"/>
  <c r="R56" i="5"/>
  <c r="N56" i="5"/>
  <c r="J56" i="5"/>
  <c r="AJ55" i="5"/>
  <c r="AF55" i="5"/>
  <c r="AB55" i="5"/>
  <c r="X55" i="5"/>
  <c r="T55" i="5"/>
  <c r="P55" i="5"/>
  <c r="L55" i="5"/>
  <c r="H55" i="5"/>
  <c r="AE59" i="5"/>
  <c r="T59" i="5"/>
  <c r="I59" i="5"/>
  <c r="AC58" i="5"/>
  <c r="R58" i="5"/>
  <c r="G58" i="5"/>
  <c r="AA57" i="5"/>
  <c r="P57" i="5"/>
  <c r="G57" i="5"/>
  <c r="AC56" i="5"/>
  <c r="U56" i="5"/>
  <c r="M56" i="5"/>
  <c r="AI55" i="5"/>
  <c r="AA55" i="5"/>
  <c r="S55" i="5"/>
  <c r="K55" i="5"/>
  <c r="AC59" i="5"/>
  <c r="S59" i="5"/>
  <c r="H59" i="5"/>
  <c r="AA58" i="5"/>
  <c r="Q58" i="5"/>
  <c r="AJ57" i="5"/>
  <c r="Y57" i="5"/>
  <c r="O57" i="5"/>
  <c r="AJ56" i="5"/>
  <c r="AB56" i="5"/>
  <c r="T56" i="5"/>
  <c r="L56" i="5"/>
  <c r="AH55" i="5"/>
  <c r="Z55" i="5"/>
  <c r="R55" i="5"/>
  <c r="J55" i="5"/>
  <c r="AJ59" i="5"/>
  <c r="Y59" i="5"/>
  <c r="O59" i="5"/>
  <c r="AH58" i="5"/>
  <c r="W58" i="5"/>
  <c r="M58" i="5"/>
  <c r="AF57" i="5"/>
  <c r="U57" i="5"/>
  <c r="K57" i="5"/>
  <c r="AG56" i="5"/>
  <c r="Y56" i="5"/>
  <c r="Q56" i="5"/>
  <c r="I56" i="5"/>
  <c r="AE55" i="5"/>
  <c r="W55" i="5"/>
  <c r="O55" i="5"/>
  <c r="AI59" i="5"/>
  <c r="X59" i="5"/>
  <c r="M59" i="5"/>
  <c r="AG58" i="5"/>
  <c r="V58" i="5"/>
  <c r="K58" i="5"/>
  <c r="AE57" i="5"/>
  <c r="T57" i="5"/>
  <c r="J57" i="5"/>
  <c r="AF56" i="5"/>
  <c r="X56" i="5"/>
  <c r="P56" i="5"/>
  <c r="H56" i="5"/>
  <c r="AD55" i="5"/>
  <c r="V55" i="5"/>
  <c r="N55" i="5"/>
  <c r="C47" i="5"/>
  <c r="G47" i="5"/>
  <c r="G39" i="5"/>
  <c r="W81" i="5"/>
  <c r="S81" i="5"/>
  <c r="O81" i="5"/>
  <c r="K81" i="5"/>
  <c r="G81" i="5"/>
  <c r="Y80" i="5"/>
  <c r="U80" i="5"/>
  <c r="Q80" i="5"/>
  <c r="M80" i="5"/>
  <c r="I80" i="5"/>
  <c r="W79" i="5"/>
  <c r="S79" i="5"/>
  <c r="O79" i="5"/>
  <c r="K79" i="5"/>
  <c r="V81" i="5"/>
  <c r="Q81" i="5"/>
  <c r="L81" i="5"/>
  <c r="T80" i="5"/>
  <c r="O80" i="5"/>
  <c r="J80" i="5"/>
  <c r="X79" i="5"/>
  <c r="R79" i="5"/>
  <c r="M79" i="5"/>
  <c r="H79" i="5"/>
  <c r="Z78" i="5"/>
  <c r="R78" i="5"/>
  <c r="J78" i="5"/>
  <c r="Z81" i="5"/>
  <c r="U81" i="5"/>
  <c r="P81" i="5"/>
  <c r="J81" i="5"/>
  <c r="X80" i="5"/>
  <c r="S80" i="5"/>
  <c r="N80" i="5"/>
  <c r="H80" i="5"/>
  <c r="V79" i="5"/>
  <c r="Q79" i="5"/>
  <c r="L79" i="5"/>
  <c r="G79" i="5"/>
  <c r="Y78" i="5"/>
  <c r="I78" i="5"/>
  <c r="Y81" i="5"/>
  <c r="N81" i="5"/>
  <c r="W80" i="5"/>
  <c r="L80" i="5"/>
  <c r="U79" i="5"/>
  <c r="J79" i="5"/>
  <c r="X78" i="5"/>
  <c r="H78" i="5"/>
  <c r="X81" i="5"/>
  <c r="M81" i="5"/>
  <c r="V80" i="5"/>
  <c r="K80" i="5"/>
  <c r="T79" i="5"/>
  <c r="I79" i="5"/>
  <c r="G78" i="5"/>
  <c r="T81" i="5"/>
  <c r="G80" i="5"/>
  <c r="P79" i="5"/>
  <c r="R81" i="5"/>
  <c r="N79" i="5"/>
  <c r="K78" i="5"/>
  <c r="I81" i="5"/>
  <c r="R80" i="5"/>
  <c r="Z79" i="5"/>
  <c r="H81" i="5"/>
  <c r="P80" i="5"/>
  <c r="Y79" i="5"/>
  <c r="G13" i="6"/>
  <c r="N176" i="13" l="1"/>
  <c r="F39" i="5"/>
  <c r="F41" i="5"/>
  <c r="F47" i="5"/>
  <c r="F50" i="5"/>
  <c r="F51" i="5"/>
  <c r="F48" i="5"/>
  <c r="F49" i="5"/>
  <c r="F42" i="5"/>
  <c r="F40" i="5"/>
  <c r="F43" i="5"/>
  <c r="W29" i="15"/>
  <c r="X30" i="15"/>
  <c r="X28" i="15"/>
  <c r="F63" i="5"/>
  <c r="F65" i="5"/>
  <c r="F59" i="5"/>
  <c r="F57" i="5"/>
  <c r="F56" i="5"/>
  <c r="F58" i="5"/>
  <c r="F64" i="5"/>
  <c r="F66" i="5"/>
  <c r="F67" i="5"/>
  <c r="F55" i="5"/>
  <c r="B1" i="6"/>
  <c r="B92" i="5"/>
  <c r="B113" i="5"/>
  <c r="B85" i="5"/>
  <c r="B106" i="5"/>
  <c r="B99" i="5"/>
  <c r="E70" i="5"/>
  <c r="B76" i="5"/>
  <c r="F46" i="5"/>
  <c r="F62" i="5" s="1"/>
  <c r="B13" i="6"/>
  <c r="G14" i="6"/>
  <c r="E38" i="5"/>
  <c r="C38" i="5"/>
  <c r="B38" i="5"/>
  <c r="B12" i="6"/>
  <c r="B13" i="4"/>
  <c r="B1" i="5"/>
  <c r="O176" i="13" l="1"/>
  <c r="B46" i="5"/>
  <c r="B62" i="5" s="1"/>
  <c r="B54" i="5"/>
  <c r="C46" i="5"/>
  <c r="C54" i="5"/>
  <c r="E46" i="5"/>
  <c r="E62" i="5" s="1"/>
  <c r="E54" i="5"/>
  <c r="Y28" i="15"/>
  <c r="AA79" i="5"/>
  <c r="Y30" i="15"/>
  <c r="AA81" i="5"/>
  <c r="X29" i="15"/>
  <c r="Z80" i="5"/>
  <c r="B39" i="5"/>
  <c r="B47" i="5" s="1"/>
  <c r="B14" i="6"/>
  <c r="B8" i="5"/>
  <c r="B9" i="5"/>
  <c r="P176" i="13" l="1"/>
  <c r="C62" i="5"/>
  <c r="Y29" i="15"/>
  <c r="AA80" i="5"/>
  <c r="Z28" i="15"/>
  <c r="AB79" i="5"/>
  <c r="Z30" i="15"/>
  <c r="AB81" i="5"/>
  <c r="Q176" i="13" l="1"/>
  <c r="AJ73" i="5"/>
  <c r="Z72" i="5"/>
  <c r="N72" i="5"/>
  <c r="M72" i="5"/>
  <c r="Y72" i="5"/>
  <c r="P72" i="5"/>
  <c r="Y73" i="5"/>
  <c r="AD72" i="5"/>
  <c r="AH71" i="5"/>
  <c r="L73" i="5"/>
  <c r="AJ72" i="5"/>
  <c r="Z71" i="5"/>
  <c r="Q71" i="5"/>
  <c r="W71" i="5"/>
  <c r="P71" i="5"/>
  <c r="V71" i="5"/>
  <c r="AD71" i="5"/>
  <c r="AE72" i="5"/>
  <c r="AG72" i="5"/>
  <c r="T73" i="5"/>
  <c r="AE73" i="5"/>
  <c r="AB74" i="5"/>
  <c r="J71" i="5"/>
  <c r="AF71" i="5"/>
  <c r="AF72" i="5"/>
  <c r="AA72" i="5"/>
  <c r="R73" i="5"/>
  <c r="I73" i="5"/>
  <c r="T74" i="5"/>
  <c r="AH72" i="5"/>
  <c r="H74" i="5"/>
  <c r="AE74" i="5"/>
  <c r="K71" i="5"/>
  <c r="AG71" i="5"/>
  <c r="Q72" i="5"/>
  <c r="J72" i="5"/>
  <c r="N73" i="5"/>
  <c r="AG73" i="5"/>
  <c r="AC74" i="5"/>
  <c r="AI73" i="5"/>
  <c r="Q74" i="5"/>
  <c r="AJ71" i="5"/>
  <c r="G72" i="5"/>
  <c r="L72" i="5"/>
  <c r="U73" i="5"/>
  <c r="P73" i="5"/>
  <c r="J74" i="5"/>
  <c r="R71" i="5"/>
  <c r="AC71" i="5"/>
  <c r="U72" i="5"/>
  <c r="W72" i="5"/>
  <c r="X73" i="5"/>
  <c r="K74" i="5"/>
  <c r="G74" i="5"/>
  <c r="Y74" i="5"/>
  <c r="S73" i="5"/>
  <c r="H71" i="5"/>
  <c r="AE71" i="5"/>
  <c r="H72" i="5"/>
  <c r="AB72" i="5"/>
  <c r="AH73" i="5"/>
  <c r="Z74" i="5"/>
  <c r="AJ74" i="5"/>
  <c r="W73" i="5"/>
  <c r="M73" i="5"/>
  <c r="AF74" i="5"/>
  <c r="V74" i="5"/>
  <c r="AA71" i="5"/>
  <c r="S72" i="5"/>
  <c r="O72" i="5"/>
  <c r="AF73" i="5"/>
  <c r="S74" i="5"/>
  <c r="AD74" i="5"/>
  <c r="Y71" i="5"/>
  <c r="L71" i="5"/>
  <c r="I71" i="5"/>
  <c r="K72" i="5"/>
  <c r="Z73" i="5"/>
  <c r="AA73" i="5"/>
  <c r="AG74" i="5"/>
  <c r="AA74" i="5"/>
  <c r="R74" i="5"/>
  <c r="M74" i="5"/>
  <c r="AH74" i="5"/>
  <c r="X71" i="5"/>
  <c r="T71" i="5"/>
  <c r="AC72" i="5"/>
  <c r="R72" i="5"/>
  <c r="AB73" i="5"/>
  <c r="Q73" i="5"/>
  <c r="AI74" i="5"/>
  <c r="J73" i="5"/>
  <c r="X74" i="5"/>
  <c r="M71" i="5"/>
  <c r="S71" i="5"/>
  <c r="I72" i="5"/>
  <c r="V73" i="5"/>
  <c r="AD73" i="5"/>
  <c r="W74" i="5"/>
  <c r="U74" i="5"/>
  <c r="O71" i="5"/>
  <c r="N71" i="5"/>
  <c r="AB71" i="5"/>
  <c r="T72" i="5"/>
  <c r="AI72" i="5"/>
  <c r="G73" i="5"/>
  <c r="AC73" i="5"/>
  <c r="P74" i="5"/>
  <c r="O74" i="5"/>
  <c r="L74" i="5"/>
  <c r="AI71" i="5"/>
  <c r="U71" i="5"/>
  <c r="V72" i="5"/>
  <c r="X72" i="5"/>
  <c r="H73" i="5"/>
  <c r="O73" i="5"/>
  <c r="N74" i="5"/>
  <c r="K73" i="5"/>
  <c r="I74" i="5"/>
  <c r="G71" i="5"/>
  <c r="Z29" i="15"/>
  <c r="AB80" i="5"/>
  <c r="AA30" i="15"/>
  <c r="AC81" i="5"/>
  <c r="AA28" i="15"/>
  <c r="AC79" i="5"/>
  <c r="B10" i="5"/>
  <c r="F73" i="5" l="1"/>
  <c r="R176" i="13"/>
  <c r="F74" i="5"/>
  <c r="F71" i="5"/>
  <c r="F72" i="5"/>
  <c r="O24" i="5"/>
  <c r="O10" i="5"/>
  <c r="G24" i="5"/>
  <c r="G10" i="5"/>
  <c r="U25" i="5"/>
  <c r="U11" i="5"/>
  <c r="I23" i="5"/>
  <c r="I9" i="5"/>
  <c r="Q24" i="5"/>
  <c r="Q10" i="5"/>
  <c r="R25" i="5"/>
  <c r="R11" i="5"/>
  <c r="Z24" i="5"/>
  <c r="Z10" i="5"/>
  <c r="Y22" i="5"/>
  <c r="Y8" i="5"/>
  <c r="S25" i="5"/>
  <c r="S11" i="5"/>
  <c r="V25" i="5"/>
  <c r="V11" i="5"/>
  <c r="AB23" i="5"/>
  <c r="AB9" i="5"/>
  <c r="S24" i="5"/>
  <c r="S10" i="5"/>
  <c r="G25" i="5"/>
  <c r="G11" i="5"/>
  <c r="U23" i="5"/>
  <c r="U9" i="5"/>
  <c r="U24" i="5"/>
  <c r="U10" i="5"/>
  <c r="Q25" i="5"/>
  <c r="Q11" i="5"/>
  <c r="J23" i="5"/>
  <c r="J9" i="5"/>
  <c r="T25" i="5"/>
  <c r="T11" i="5"/>
  <c r="T24" i="5"/>
  <c r="T10" i="5"/>
  <c r="Z22" i="5"/>
  <c r="Z8" i="5"/>
  <c r="M23" i="5"/>
  <c r="M9" i="5"/>
  <c r="G22" i="5"/>
  <c r="G8" i="5"/>
  <c r="H24" i="5"/>
  <c r="H10" i="5"/>
  <c r="W25" i="5"/>
  <c r="W11" i="5"/>
  <c r="AB24" i="5"/>
  <c r="AB10" i="5"/>
  <c r="X22" i="5"/>
  <c r="X8" i="5"/>
  <c r="AA25" i="5"/>
  <c r="AA11" i="5"/>
  <c r="K23" i="5"/>
  <c r="K9" i="5"/>
  <c r="M24" i="5"/>
  <c r="M10" i="5"/>
  <c r="H23" i="5"/>
  <c r="H9" i="5"/>
  <c r="Y25" i="5"/>
  <c r="Y11" i="5"/>
  <c r="K25" i="5"/>
  <c r="K11" i="5"/>
  <c r="L23" i="5"/>
  <c r="L9" i="5"/>
  <c r="AC25" i="5"/>
  <c r="AC11" i="5"/>
  <c r="Q23" i="5"/>
  <c r="Q9" i="5"/>
  <c r="H11" i="5"/>
  <c r="H25" i="5"/>
  <c r="I24" i="5"/>
  <c r="I10" i="5"/>
  <c r="Y24" i="5"/>
  <c r="Y10" i="5"/>
  <c r="N23" i="5"/>
  <c r="N9" i="5"/>
  <c r="I25" i="5"/>
  <c r="I11" i="5"/>
  <c r="X23" i="5"/>
  <c r="X9" i="5"/>
  <c r="L25" i="5"/>
  <c r="L11" i="5"/>
  <c r="P25" i="5"/>
  <c r="P11" i="5"/>
  <c r="T23" i="5"/>
  <c r="T9" i="5"/>
  <c r="X25" i="5"/>
  <c r="X11" i="5"/>
  <c r="R23" i="5"/>
  <c r="R9" i="5"/>
  <c r="I22" i="5"/>
  <c r="I8" i="5"/>
  <c r="O23" i="5"/>
  <c r="O9" i="5"/>
  <c r="W24" i="5"/>
  <c r="W10" i="5"/>
  <c r="Z25" i="5"/>
  <c r="Z11" i="5"/>
  <c r="X24" i="5"/>
  <c r="X10" i="5"/>
  <c r="R22" i="5"/>
  <c r="R8" i="5"/>
  <c r="J25" i="5"/>
  <c r="J11" i="5"/>
  <c r="G23" i="5"/>
  <c r="G9" i="5"/>
  <c r="R24" i="5"/>
  <c r="R10" i="5"/>
  <c r="J22" i="5"/>
  <c r="J8" i="5"/>
  <c r="AB25" i="5"/>
  <c r="AB11" i="5"/>
  <c r="L24" i="5"/>
  <c r="L10" i="5"/>
  <c r="P23" i="5"/>
  <c r="P9" i="5"/>
  <c r="Z23" i="5"/>
  <c r="Z9" i="5"/>
  <c r="K24" i="5"/>
  <c r="K10" i="5"/>
  <c r="N25" i="5"/>
  <c r="N11" i="5"/>
  <c r="V23" i="5"/>
  <c r="V9" i="5"/>
  <c r="O25" i="5"/>
  <c r="O11" i="5"/>
  <c r="V24" i="5"/>
  <c r="V10" i="5"/>
  <c r="J24" i="5"/>
  <c r="J10" i="5"/>
  <c r="AC23" i="5"/>
  <c r="AC9" i="5"/>
  <c r="M25" i="5"/>
  <c r="M11" i="5"/>
  <c r="AA24" i="5"/>
  <c r="AA10" i="5"/>
  <c r="S23" i="5"/>
  <c r="S9" i="5"/>
  <c r="H22" i="5"/>
  <c r="H8" i="5"/>
  <c r="W23" i="5"/>
  <c r="W9" i="5"/>
  <c r="P24" i="5"/>
  <c r="P10" i="5"/>
  <c r="N24" i="5"/>
  <c r="N10" i="5"/>
  <c r="K22" i="5"/>
  <c r="K8" i="5"/>
  <c r="AA23" i="5"/>
  <c r="AA9" i="5"/>
  <c r="Y23" i="5"/>
  <c r="Y9" i="5"/>
  <c r="AB28" i="15"/>
  <c r="AD79" i="5"/>
  <c r="AD9" i="5" s="1"/>
  <c r="AB30" i="15"/>
  <c r="AD81" i="5"/>
  <c r="AD25" i="5" s="1"/>
  <c r="AA29" i="15"/>
  <c r="AC80" i="5"/>
  <c r="AC10" i="5" s="1"/>
  <c r="B11" i="5"/>
  <c r="D33" i="13" l="1" a="1"/>
  <c r="D33" i="13" s="1"/>
  <c r="S176" i="13"/>
  <c r="AC24" i="5"/>
  <c r="AD23" i="5"/>
  <c r="AD11" i="5"/>
  <c r="AB29" i="15"/>
  <c r="AD80" i="5"/>
  <c r="AE27" i="15"/>
  <c r="AG78" i="5"/>
  <c r="AC30" i="15"/>
  <c r="AE81" i="5"/>
  <c r="AC28" i="15"/>
  <c r="AE79" i="5"/>
  <c r="E23" i="15"/>
  <c r="E22" i="15"/>
  <c r="E24" i="15"/>
  <c r="E21" i="15"/>
  <c r="G33" i="13" l="1"/>
  <c r="F33" i="13"/>
  <c r="E33" i="13"/>
  <c r="T176" i="13"/>
  <c r="AE23" i="5"/>
  <c r="AE9" i="5"/>
  <c r="AD24" i="5"/>
  <c r="AD10" i="5"/>
  <c r="AE25" i="5"/>
  <c r="AE11" i="5"/>
  <c r="AD28" i="15"/>
  <c r="AF79" i="5"/>
  <c r="AC29" i="15"/>
  <c r="AE80" i="5"/>
  <c r="AD30" i="15"/>
  <c r="AF81" i="5"/>
  <c r="AF27" i="15"/>
  <c r="AH78" i="5"/>
  <c r="G24" i="15"/>
  <c r="F24" i="15"/>
  <c r="F22" i="15"/>
  <c r="G22" i="15"/>
  <c r="F21" i="15"/>
  <c r="G23" i="15"/>
  <c r="F23" i="15"/>
  <c r="H23" i="15"/>
  <c r="U176" i="13" l="1"/>
  <c r="AF11" i="5"/>
  <c r="AF25" i="5"/>
  <c r="AE24" i="5"/>
  <c r="AE10" i="5"/>
  <c r="AF9" i="5"/>
  <c r="AF23" i="5"/>
  <c r="AD29" i="15"/>
  <c r="AF80" i="5"/>
  <c r="AE30" i="15"/>
  <c r="AG81" i="5"/>
  <c r="AG27" i="15"/>
  <c r="AI78" i="5"/>
  <c r="AE28" i="15"/>
  <c r="AG79" i="5"/>
  <c r="H22" i="15"/>
  <c r="H24" i="15"/>
  <c r="I22" i="15"/>
  <c r="I23" i="15"/>
  <c r="V176" i="13" l="1"/>
  <c r="AG23" i="5"/>
  <c r="AG9" i="5"/>
  <c r="AG25" i="5"/>
  <c r="AG11" i="5"/>
  <c r="AF10" i="5"/>
  <c r="AF24" i="5"/>
  <c r="AH27" i="15"/>
  <c r="AJ78" i="5"/>
  <c r="AF30" i="15"/>
  <c r="AH81" i="5"/>
  <c r="AF28" i="15"/>
  <c r="AH79" i="5"/>
  <c r="AE29" i="15"/>
  <c r="AG80" i="5"/>
  <c r="I24" i="15"/>
  <c r="W176" i="13" l="1"/>
  <c r="AG8" i="5"/>
  <c r="AG22" i="5"/>
  <c r="AG10" i="5"/>
  <c r="AG24" i="5"/>
  <c r="AH9" i="5"/>
  <c r="AH23" i="5"/>
  <c r="AH25" i="5"/>
  <c r="AH11" i="5"/>
  <c r="AG30" i="15"/>
  <c r="AI81" i="5"/>
  <c r="AF29" i="15"/>
  <c r="AH80" i="5"/>
  <c r="AG28" i="15"/>
  <c r="AI79" i="5"/>
  <c r="J23" i="15"/>
  <c r="J24" i="15"/>
  <c r="J22" i="15"/>
  <c r="X176" i="13" l="1"/>
  <c r="AH8" i="5"/>
  <c r="AH22" i="5"/>
  <c r="AI22" i="5"/>
  <c r="AI11" i="5"/>
  <c r="AI25" i="5"/>
  <c r="AH24" i="5"/>
  <c r="AH10" i="5"/>
  <c r="AI23" i="5"/>
  <c r="AI9" i="5"/>
  <c r="AG29" i="15"/>
  <c r="AI80" i="5"/>
  <c r="AH28" i="15"/>
  <c r="D28" i="15" s="1"/>
  <c r="AJ79" i="5"/>
  <c r="F79" i="5" s="1"/>
  <c r="AH30" i="15"/>
  <c r="D30" i="15" s="1"/>
  <c r="AJ81" i="5"/>
  <c r="F81" i="5" s="1"/>
  <c r="K22" i="15"/>
  <c r="K23" i="15"/>
  <c r="K24" i="15"/>
  <c r="L22" i="15"/>
  <c r="Y176" i="13" l="1"/>
  <c r="AI8" i="5"/>
  <c r="AJ23" i="5"/>
  <c r="F23" i="5" s="1"/>
  <c r="AJ9" i="5"/>
  <c r="F9" i="5" s="1"/>
  <c r="AI24" i="5"/>
  <c r="AI10" i="5"/>
  <c r="AJ11" i="5"/>
  <c r="F11" i="5" s="1"/>
  <c r="AJ25" i="5"/>
  <c r="F25" i="5" s="1"/>
  <c r="AH29" i="15"/>
  <c r="D29" i="15" s="1"/>
  <c r="AJ80" i="5"/>
  <c r="F80" i="5" s="1"/>
  <c r="L24" i="15"/>
  <c r="L23" i="15"/>
  <c r="Z176" i="13" l="1"/>
  <c r="AJ8" i="5"/>
  <c r="AJ22" i="5"/>
  <c r="AJ10" i="5"/>
  <c r="F10" i="5" s="1"/>
  <c r="AJ24" i="5"/>
  <c r="F24" i="5" s="1"/>
  <c r="M22" i="15"/>
  <c r="M24" i="15"/>
  <c r="M23" i="15"/>
  <c r="N22" i="15"/>
  <c r="AA176" i="13" l="1"/>
  <c r="N24" i="15"/>
  <c r="N23" i="15"/>
  <c r="O24" i="15"/>
  <c r="O22" i="15"/>
  <c r="O23" i="15"/>
  <c r="AB176" i="13" l="1"/>
  <c r="P24" i="15"/>
  <c r="P22" i="15"/>
  <c r="P23" i="15"/>
  <c r="AC176" i="13" l="1"/>
  <c r="Q24" i="15"/>
  <c r="Q22" i="15"/>
  <c r="Q23" i="15"/>
  <c r="R24" i="15" l="1"/>
  <c r="R23" i="15"/>
  <c r="R22" i="15"/>
  <c r="S24" i="15" l="1"/>
  <c r="S23" i="15"/>
  <c r="S22" i="15"/>
  <c r="T24" i="15" l="1"/>
  <c r="T23" i="15"/>
  <c r="T22" i="15"/>
  <c r="U24" i="15" l="1"/>
  <c r="U23" i="15"/>
  <c r="U22" i="15"/>
  <c r="V24" i="15" l="1"/>
  <c r="V23" i="15"/>
  <c r="V22" i="15"/>
  <c r="W24" i="15" l="1"/>
  <c r="W23" i="15"/>
  <c r="W22" i="15"/>
  <c r="X24" i="15" l="1"/>
  <c r="X23" i="15"/>
  <c r="X22" i="15"/>
  <c r="Y24" i="15" l="1"/>
  <c r="Y23" i="15"/>
  <c r="Y22" i="15"/>
  <c r="Z24" i="15" l="1"/>
  <c r="Z22" i="15"/>
  <c r="Z23" i="15"/>
  <c r="AA24" i="15" l="1"/>
  <c r="AA22" i="15"/>
  <c r="AA23" i="15"/>
  <c r="AB24" i="15" l="1"/>
  <c r="AB22" i="15"/>
  <c r="AB23" i="15"/>
  <c r="AC24" i="15" l="1"/>
  <c r="AC23" i="15"/>
  <c r="AC22" i="15"/>
  <c r="AD24" i="15" l="1"/>
  <c r="AD23" i="15"/>
  <c r="AD22" i="15"/>
  <c r="AE21" i="15" l="1"/>
  <c r="AE24" i="15"/>
  <c r="AE23" i="15"/>
  <c r="AE22" i="15"/>
  <c r="AF24" i="15" l="1"/>
  <c r="AF23" i="15"/>
  <c r="AF22" i="15"/>
  <c r="AF21" i="15"/>
  <c r="AG21" i="15" l="1"/>
  <c r="AH24" i="15"/>
  <c r="AG22" i="15"/>
  <c r="AH23" i="15"/>
  <c r="AG23" i="15"/>
  <c r="AH22" i="15"/>
  <c r="AH21" i="15"/>
  <c r="AG24" i="15"/>
  <c r="D24" i="15" l="1"/>
  <c r="D23" i="15"/>
  <c r="D22" i="15"/>
  <c r="D9" i="15" l="1"/>
  <c r="E9" i="15"/>
  <c r="F9" i="15"/>
  <c r="G9" i="15"/>
  <c r="D10" i="15"/>
  <c r="E10" i="15"/>
  <c r="F10" i="15"/>
  <c r="G10" i="15"/>
  <c r="D8" i="15"/>
  <c r="E8" i="15"/>
  <c r="F8" i="15"/>
  <c r="G8" i="15"/>
  <c r="H8" i="15" l="1"/>
  <c r="H10" i="15"/>
  <c r="H9" i="15"/>
  <c r="K21" i="15" l="1"/>
  <c r="U21" i="15"/>
  <c r="N21" i="15" l="1"/>
  <c r="M21" i="15"/>
  <c r="AC21" i="15"/>
  <c r="Y21" i="15"/>
  <c r="I21" i="15"/>
  <c r="Q21" i="15"/>
  <c r="J21" i="15"/>
  <c r="O21" i="15"/>
  <c r="X21" i="15"/>
  <c r="L21" i="15"/>
  <c r="T21" i="15"/>
  <c r="AD21" i="15"/>
  <c r="W21" i="15" l="1"/>
  <c r="R21" i="15"/>
  <c r="Z21" i="15"/>
  <c r="V21" i="15"/>
  <c r="S21" i="15"/>
  <c r="H21" i="15"/>
  <c r="AA21" i="15"/>
  <c r="G21" i="15"/>
  <c r="AB21" i="15"/>
  <c r="P21" i="15"/>
  <c r="D21" i="15" l="1"/>
  <c r="Y27" i="15" l="1"/>
  <c r="R27" i="15"/>
  <c r="M27" i="15"/>
  <c r="U27" i="15"/>
  <c r="Q27" i="15"/>
  <c r="L27" i="15"/>
  <c r="T27" i="15"/>
  <c r="O27" i="15"/>
  <c r="K27" i="15"/>
  <c r="S27" i="15"/>
  <c r="N27" i="15"/>
  <c r="N78" i="5"/>
  <c r="T78" i="5"/>
  <c r="V78" i="5"/>
  <c r="U78" i="5"/>
  <c r="S78" i="5"/>
  <c r="P78" i="5"/>
  <c r="M78" i="5"/>
  <c r="Q78" i="5"/>
  <c r="W78" i="5"/>
  <c r="AA78" i="5"/>
  <c r="O78" i="5"/>
  <c r="L78" i="5"/>
  <c r="J27" i="15"/>
  <c r="N8" i="5" l="1"/>
  <c r="O8" i="5"/>
  <c r="M22" i="5"/>
  <c r="V8" i="5"/>
  <c r="AA22" i="5"/>
  <c r="P22" i="5"/>
  <c r="T8" i="5"/>
  <c r="W8" i="5"/>
  <c r="S8" i="5"/>
  <c r="L22" i="5"/>
  <c r="Q22" i="5"/>
  <c r="U8" i="5"/>
  <c r="L8" i="5"/>
  <c r="O22" i="5"/>
  <c r="AA8" i="5"/>
  <c r="W22" i="5"/>
  <c r="Q8" i="5"/>
  <c r="M8" i="5"/>
  <c r="P8" i="5"/>
  <c r="S22" i="5"/>
  <c r="U22" i="5"/>
  <c r="V22" i="5"/>
  <c r="T22" i="5"/>
  <c r="N22" i="5"/>
  <c r="AF78" i="5" l="1"/>
  <c r="AF8" i="5" s="1"/>
  <c r="AA27" i="15"/>
  <c r="AC27" i="15"/>
  <c r="AD78" i="5"/>
  <c r="AD8" i="5" s="1"/>
  <c r="AB27" i="15"/>
  <c r="AD27" i="15"/>
  <c r="Z27" i="15"/>
  <c r="AB78" i="5"/>
  <c r="AC78" i="5"/>
  <c r="AC22" i="5" s="1"/>
  <c r="AE78" i="5"/>
  <c r="AE22" i="5" s="1"/>
  <c r="AE8" i="5" l="1"/>
  <c r="AF22" i="5"/>
  <c r="AD22" i="5"/>
  <c r="D27" i="15"/>
  <c r="F7" i="15" s="1"/>
  <c r="AC8" i="5"/>
  <c r="F78" i="5"/>
  <c r="D34" i="13" s="1" a="1"/>
  <c r="AB8" i="5"/>
  <c r="AB22" i="5"/>
  <c r="D34" i="13" l="1"/>
  <c r="E34" i="13"/>
  <c r="G34" i="13"/>
  <c r="F34" i="13"/>
  <c r="F22" i="5"/>
  <c r="D7" i="15"/>
  <c r="G7" i="15"/>
  <c r="F8" i="5"/>
  <c r="D10" i="13" s="1" a="1"/>
  <c r="E7" i="15"/>
  <c r="D10" i="13" l="1"/>
  <c r="G10" i="13"/>
  <c r="F10" i="13"/>
  <c r="E10" i="13"/>
  <c r="H7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Tony Chen</author>
  </authors>
  <commentList>
    <comment ref="F24" authorId="0" shapeId="0" xr:uid="{6A38CC4F-DB27-4EA0-938C-E30452FAADE3}">
      <text>
        <r>
          <rPr>
            <sz val="9"/>
            <color indexed="81"/>
            <rFont val="Tahoma"/>
            <family val="2"/>
          </rPr>
          <t>Enter 'start year' inputs based on financial year ie 1 July to 30 June</t>
        </r>
      </text>
    </comment>
    <comment ref="G24" authorId="0" shapeId="0" xr:uid="{FCF4A986-F8BD-4F6D-96E0-F7024069CE2D}">
      <text>
        <r>
          <rPr>
            <sz val="9"/>
            <color indexed="81"/>
            <rFont val="Tahoma"/>
            <family val="2"/>
          </rPr>
          <t>Enter 'end year' inputs based on financial year ie 1 July to 30 June</t>
        </r>
      </text>
    </comment>
    <comment ref="H24" authorId="0" shapeId="0" xr:uid="{2EEE4322-3B11-4A1A-8472-AEC456D0625A}">
      <text>
        <r>
          <rPr>
            <sz val="9"/>
            <color indexed="81"/>
            <rFont val="Tahoma"/>
            <family val="2"/>
          </rPr>
          <t>Enter 'commission year' inputs based on financial year ie 1 July to 30 June</t>
        </r>
      </text>
    </comment>
  </commentList>
</comments>
</file>

<file path=xl/sharedStrings.xml><?xml version="1.0" encoding="utf-8"?>
<sst xmlns="http://schemas.openxmlformats.org/spreadsheetml/2006/main" count="645" uniqueCount="147">
  <si>
    <t>Calculation cell</t>
  </si>
  <si>
    <t>Input Cell</t>
  </si>
  <si>
    <t>Parameter Cell</t>
  </si>
  <si>
    <t>Output Cell</t>
  </si>
  <si>
    <t>Table Row Name</t>
  </si>
  <si>
    <t>General parameters</t>
  </si>
  <si>
    <t>Parameter</t>
  </si>
  <si>
    <t>Unit</t>
  </si>
  <si>
    <t>Value</t>
  </si>
  <si>
    <t>First year of analysis</t>
  </si>
  <si>
    <t>Year</t>
  </si>
  <si>
    <t>Analysis period</t>
  </si>
  <si>
    <t>Years</t>
  </si>
  <si>
    <t>Option name</t>
  </si>
  <si>
    <t>Number</t>
  </si>
  <si>
    <t>Base case</t>
  </si>
  <si>
    <t>Short description</t>
  </si>
  <si>
    <t>Capital cost</t>
  </si>
  <si>
    <t>Start year</t>
  </si>
  <si>
    <t>End year</t>
  </si>
  <si>
    <t>Asset life</t>
  </si>
  <si>
    <t>Amount</t>
  </si>
  <si>
    <t>Units</t>
  </si>
  <si>
    <t>Option descriptions</t>
  </si>
  <si>
    <t>Cost inputs</t>
  </si>
  <si>
    <t>Benefit inputs</t>
  </si>
  <si>
    <t>General parameter and option inputs</t>
  </si>
  <si>
    <t xml:space="preserve">Fuel consumption from generation dispatch </t>
  </si>
  <si>
    <t>[NER, rule 5.16.1(c)(4)(i)]</t>
  </si>
  <si>
    <t xml:space="preserve">Voluntary load curtailment </t>
  </si>
  <si>
    <t>[NER, rule 5.16.1(c)(4)(ii)]</t>
  </si>
  <si>
    <t>[NER, rule 5.16.1(c)(4)(iii)]</t>
  </si>
  <si>
    <t>[NER, rule 5.16.1(c)(4)(iv)]</t>
  </si>
  <si>
    <t>Note</t>
  </si>
  <si>
    <t>Inputs and parameters for RIT-T assessment</t>
  </si>
  <si>
    <t>$</t>
  </si>
  <si>
    <t>Net present value for each option</t>
  </si>
  <si>
    <t>PV</t>
  </si>
  <si>
    <t>NPV</t>
  </si>
  <si>
    <t>Low</t>
  </si>
  <si>
    <t>High</t>
  </si>
  <si>
    <t>Active</t>
  </si>
  <si>
    <t>Cost</t>
  </si>
  <si>
    <t>Cost sensitivities</t>
  </si>
  <si>
    <t>Discount rate sensitivities</t>
  </si>
  <si>
    <t>Scenario</t>
  </si>
  <si>
    <t>Sensitivity inputs</t>
  </si>
  <si>
    <t>Terminal value</t>
  </si>
  <si>
    <t>Calculating costs, benefits and NPV for each option</t>
  </si>
  <si>
    <t>General</t>
  </si>
  <si>
    <t>Incremental cost calculation</t>
  </si>
  <si>
    <t>Incremental benefit calculation</t>
  </si>
  <si>
    <t>Incremental net present value calculation</t>
  </si>
  <si>
    <t>Capex component</t>
  </si>
  <si>
    <t>[NER, rule 5.16.1(c)(4)(v)]</t>
  </si>
  <si>
    <t>Percent</t>
  </si>
  <si>
    <t>Yes</t>
  </si>
  <si>
    <t>Included in assessment?</t>
  </si>
  <si>
    <t>Difference in timing of unrelated expenditure</t>
  </si>
  <si>
    <t>Base year for dollar inputs</t>
  </si>
  <si>
    <t>Base</t>
  </si>
  <si>
    <t>User selection</t>
  </si>
  <si>
    <t>Creation Date</t>
  </si>
  <si>
    <t>Client</t>
  </si>
  <si>
    <t>Description</t>
  </si>
  <si>
    <t>Tom Graham and Tony Chen</t>
  </si>
  <si>
    <t>Creators</t>
  </si>
  <si>
    <t>Legend applied throughout the model template</t>
  </si>
  <si>
    <t>User Interface</t>
  </si>
  <si>
    <t>Selection</t>
  </si>
  <si>
    <t>Involuntary load shedding</t>
  </si>
  <si>
    <t>Commercial discount rate</t>
  </si>
  <si>
    <t>Interface for user selection and results</t>
  </si>
  <si>
    <t>Scenarios</t>
  </si>
  <si>
    <t>Scenario weighting</t>
  </si>
  <si>
    <t>Weighting</t>
  </si>
  <si>
    <t>Scenario selection</t>
  </si>
  <si>
    <t>Scenario 1</t>
  </si>
  <si>
    <t>Scenario 2</t>
  </si>
  <si>
    <t>Scenario 3</t>
  </si>
  <si>
    <t>Present value of benefits for each option</t>
  </si>
  <si>
    <t>Present value of costs for each option</t>
  </si>
  <si>
    <t>Costs for non RIT-T proponent parties</t>
  </si>
  <si>
    <t>Commission year</t>
  </si>
  <si>
    <t>Avoided voluntary load curtailment</t>
  </si>
  <si>
    <t>Scenario 4</t>
  </si>
  <si>
    <t>Slow change</t>
  </si>
  <si>
    <t>Fast change</t>
  </si>
  <si>
    <t>Inputs</t>
  </si>
  <si>
    <t>Proportionate share</t>
  </si>
  <si>
    <t>Operating and maintenance cost</t>
  </si>
  <si>
    <t>Avoided fuel costs</t>
  </si>
  <si>
    <t>`</t>
  </si>
  <si>
    <t>Neutral</t>
  </si>
  <si>
    <t>Neutral + lower emissions</t>
  </si>
  <si>
    <t>Summary of the estimated net market benefits</t>
  </si>
  <si>
    <t>ACTIVE</t>
  </si>
  <si>
    <t>Weighted</t>
  </si>
  <si>
    <t>Avoided unserved energy</t>
  </si>
  <si>
    <t>Breakdown of gross market benefits</t>
  </si>
  <si>
    <t>Avoided REZ transmission capex</t>
  </si>
  <si>
    <t>Breakdown of estimated gross market benefits</t>
  </si>
  <si>
    <t>Period</t>
  </si>
  <si>
    <t>Transmission capex</t>
  </si>
  <si>
    <t>Transmission opex</t>
  </si>
  <si>
    <t>Cumulative, PV</t>
  </si>
  <si>
    <t>Cumulative breakdown of gross market benefits, real</t>
  </si>
  <si>
    <t>Cumulative breakdown of gross market benefits, PV</t>
  </si>
  <si>
    <t>Avoided generation/storage costs (excl. fuel costs)</t>
  </si>
  <si>
    <t>Common</t>
  </si>
  <si>
    <t>Calculating weighted NPV for each option</t>
  </si>
  <si>
    <t>Capex sensitivity</t>
  </si>
  <si>
    <t>Weighted scenario and summary</t>
  </si>
  <si>
    <t>Scenario summary</t>
  </si>
  <si>
    <t>Weighted scenario</t>
  </si>
  <si>
    <t>TransGrid</t>
  </si>
  <si>
    <t>Charts</t>
  </si>
  <si>
    <t>No augmentation</t>
  </si>
  <si>
    <t>Modelling year series</t>
  </si>
  <si>
    <t>Year series</t>
  </si>
  <si>
    <t>Capital cost outflow</t>
  </si>
  <si>
    <t>Discount factor</t>
  </si>
  <si>
    <t>Financial year series II</t>
  </si>
  <si>
    <t>Financial year series I</t>
  </si>
  <si>
    <t>Year count</t>
  </si>
  <si>
    <t>Year applicable</t>
  </si>
  <si>
    <t>Tables to generate charts</t>
  </si>
  <si>
    <t>Annualised</t>
  </si>
  <si>
    <t>Conditional capital cost outflow</t>
  </si>
  <si>
    <t>Conditional terminal value</t>
  </si>
  <si>
    <t>Lines</t>
  </si>
  <si>
    <t>Substation</t>
  </si>
  <si>
    <t>Last year commissioned</t>
  </si>
  <si>
    <t>Step change</t>
  </si>
  <si>
    <t>Combined options</t>
  </si>
  <si>
    <t>Option 1A</t>
  </si>
  <si>
    <t>Option 1B</t>
  </si>
  <si>
    <t>Option 1C</t>
  </si>
  <si>
    <t>Option 1D</t>
  </si>
  <si>
    <t>Options for grid connected battery systems</t>
  </si>
  <si>
    <t>Neutral + low emissions</t>
  </si>
  <si>
    <t>Options for incremental upgrades to increase transfer capacity</t>
  </si>
  <si>
    <t>QNI RIT-T PACR economic assessment</t>
  </si>
  <si>
    <t>Uprate Liddell to Tamworth lines and install new dynamic reactive support at Tamworth and Dumaresq and shunt capacitor banks</t>
  </si>
  <si>
    <t>Uprate Liddell to Tamworth lines only</t>
  </si>
  <si>
    <t>Install new dynamic reactive support at Tamworth and Dumaresq and shunt capacitor banks</t>
  </si>
  <si>
    <t>Sapphire substation cut into line 8C and a mid-point switching station between Dumaresq and Bulli Creek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</si>
</sst>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;[Red]\-&quot;$&quot;#,##0"/>
    <numFmt numFmtId="8" formatCode="&quot;$&quot;#,##0.00;[Red]\-&quot;$&quot;#,##0.00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[$-C09]d\ mmmm\ yyyy;@"/>
    <numFmt numFmtId="169" formatCode="#,##0.000"/>
    <numFmt numFmtId="170" formatCode="#,##0.0000"/>
    <numFmt numFmtId="171" formatCode="0.0%"/>
  </numFmts>
  <fonts count="41" x14ac:knownFonts="1">
    <font>
      <sz val="12"/>
      <color theme="1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Arial"/>
      <family val="2"/>
    </font>
    <font>
      <b/>
      <sz val="16"/>
      <color theme="0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rgb="FFFF0000"/>
      <name val="Arial"/>
      <family val="2"/>
    </font>
    <font>
      <sz val="12"/>
      <name val="Arial"/>
      <family val="2"/>
    </font>
    <font>
      <b/>
      <sz val="12"/>
      <color theme="4"/>
      <name val="Arial"/>
      <family val="2"/>
    </font>
    <font>
      <b/>
      <sz val="12"/>
      <color theme="1"/>
      <name val="Arial"/>
      <family val="2"/>
    </font>
    <font>
      <b/>
      <sz val="17"/>
      <color theme="1"/>
      <name val="Arial"/>
      <family val="2"/>
    </font>
    <font>
      <sz val="12"/>
      <color theme="0"/>
      <name val="Arial"/>
      <family val="2"/>
    </font>
    <font>
      <b/>
      <sz val="14"/>
      <name val="Arial"/>
      <family val="2"/>
    </font>
    <font>
      <sz val="12"/>
      <color rgb="FFFF000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2"/>
      <name val="Arial"/>
      <family val="2"/>
    </font>
    <font>
      <sz val="9"/>
      <color indexed="81"/>
      <name val="Tahoma"/>
      <family val="2"/>
    </font>
    <font>
      <b/>
      <sz val="10"/>
      <color theme="0"/>
      <name val="Calibri"/>
      <family val="2"/>
      <scheme val="minor"/>
    </font>
    <font>
      <b/>
      <sz val="1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8698"/>
        <bgColor indexed="64"/>
      </patternFill>
    </fill>
    <fill>
      <patternFill patternType="solid">
        <fgColor rgb="FF696A6D"/>
        <bgColor indexed="64"/>
      </patternFill>
    </fill>
    <fill>
      <patternFill patternType="solid">
        <fgColor rgb="FF262D33"/>
        <bgColor indexed="64"/>
      </patternFill>
    </fill>
    <fill>
      <patternFill patternType="solid">
        <fgColor rgb="FFE0D4A4"/>
        <bgColor indexed="64"/>
      </patternFill>
    </fill>
    <fill>
      <patternFill patternType="solid">
        <fgColor rgb="FF9EC0DB"/>
        <bgColor indexed="64"/>
      </patternFill>
    </fill>
    <fill>
      <patternFill patternType="solid">
        <fgColor rgb="FFF6C1D1"/>
        <bgColor indexed="64"/>
      </patternFill>
    </fill>
    <fill>
      <patternFill patternType="solid">
        <fgColor rgb="FF9ECCA6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55">
    <xf numFmtId="0" fontId="0" fillId="0" borderId="0"/>
    <xf numFmtId="0" fontId="21" fillId="34" borderId="0"/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0" fontId="22" fillId="36" borderId="0"/>
    <xf numFmtId="0" fontId="22" fillId="35" borderId="0"/>
    <xf numFmtId="0" fontId="20" fillId="33" borderId="0"/>
    <xf numFmtId="2" fontId="20" fillId="37" borderId="0"/>
    <xf numFmtId="2" fontId="20" fillId="38" borderId="0"/>
    <xf numFmtId="1" fontId="20" fillId="39" borderId="0"/>
    <xf numFmtId="2" fontId="20" fillId="40" borderId="0"/>
  </cellStyleXfs>
  <cellXfs count="281">
    <xf numFmtId="0" fontId="0" fillId="0" borderId="0" xfId="0"/>
    <xf numFmtId="0" fontId="1" fillId="0" borderId="0" xfId="0" applyFont="1"/>
    <xf numFmtId="0" fontId="20" fillId="33" borderId="0" xfId="50"/>
    <xf numFmtId="0" fontId="2" fillId="0" borderId="0" xfId="0" applyFont="1" applyBorder="1"/>
    <xf numFmtId="0" fontId="0" fillId="0" borderId="0" xfId="0" applyBorder="1"/>
    <xf numFmtId="0" fontId="22" fillId="36" borderId="0" xfId="48"/>
    <xf numFmtId="0" fontId="21" fillId="34" borderId="0" xfId="1"/>
    <xf numFmtId="0" fontId="22" fillId="35" borderId="0" xfId="49"/>
    <xf numFmtId="0" fontId="22" fillId="35" borderId="0" xfId="49" applyAlignment="1">
      <alignment horizontal="center"/>
    </xf>
    <xf numFmtId="0" fontId="20" fillId="33" borderId="0" xfId="50" applyAlignment="1">
      <alignment horizontal="center"/>
    </xf>
    <xf numFmtId="0" fontId="22" fillId="35" borderId="0" xfId="49" applyAlignment="1">
      <alignment horizontal="left"/>
    </xf>
    <xf numFmtId="0" fontId="22" fillId="36" borderId="0" xfId="48" applyAlignment="1">
      <alignment horizontal="center"/>
    </xf>
    <xf numFmtId="0" fontId="0" fillId="33" borderId="0" xfId="50" applyFont="1" applyAlignment="1">
      <alignment horizontal="center"/>
    </xf>
    <xf numFmtId="0" fontId="22" fillId="35" borderId="0" xfId="49" applyAlignment="1">
      <alignment horizontal="right"/>
    </xf>
    <xf numFmtId="2" fontId="20" fillId="33" borderId="0" xfId="50" applyNumberFormat="1" applyAlignment="1">
      <alignment horizontal="left"/>
    </xf>
    <xf numFmtId="0" fontId="0" fillId="0" borderId="0" xfId="0" applyAlignment="1">
      <alignment horizontal="right"/>
    </xf>
    <xf numFmtId="0" fontId="22" fillId="36" borderId="0" xfId="48" applyAlignment="1">
      <alignment horizontal="right"/>
    </xf>
    <xf numFmtId="3" fontId="20" fillId="38" borderId="0" xfId="52" applyNumberFormat="1"/>
    <xf numFmtId="3" fontId="20" fillId="38" borderId="10" xfId="52" applyNumberFormat="1" applyBorder="1"/>
    <xf numFmtId="0" fontId="21" fillId="34" borderId="0" xfId="1" applyAlignment="1">
      <alignment horizontal="right"/>
    </xf>
    <xf numFmtId="10" fontId="20" fillId="38" borderId="0" xfId="52" applyNumberFormat="1" applyAlignment="1">
      <alignment horizontal="right"/>
    </xf>
    <xf numFmtId="3" fontId="20" fillId="40" borderId="0" xfId="54" applyNumberFormat="1" applyAlignment="1">
      <alignment horizontal="right"/>
    </xf>
    <xf numFmtId="3" fontId="20" fillId="40" borderId="10" xfId="54" applyNumberFormat="1" applyBorder="1"/>
    <xf numFmtId="0" fontId="20" fillId="33" borderId="0" xfId="50" applyNumberFormat="1" applyAlignment="1">
      <alignment horizontal="center"/>
    </xf>
    <xf numFmtId="0" fontId="20" fillId="33" borderId="0" xfId="50" applyNumberFormat="1" applyAlignment="1">
      <alignment horizontal="left"/>
    </xf>
    <xf numFmtId="0" fontId="20" fillId="33" borderId="0" xfId="50" applyAlignment="1">
      <alignment horizontal="left"/>
    </xf>
    <xf numFmtId="9" fontId="20" fillId="38" borderId="0" xfId="52" applyNumberFormat="1" applyAlignment="1">
      <alignment horizontal="right"/>
    </xf>
    <xf numFmtId="0" fontId="22" fillId="36" borderId="0" xfId="48" applyAlignment="1">
      <alignment horizontal="left"/>
    </xf>
    <xf numFmtId="0" fontId="0" fillId="0" borderId="0" xfId="0" applyAlignment="1">
      <alignment horizontal="left"/>
    </xf>
    <xf numFmtId="0" fontId="21" fillId="34" borderId="0" xfId="1" applyAlignment="1">
      <alignment horizontal="left"/>
    </xf>
    <xf numFmtId="0" fontId="23" fillId="0" borderId="0" xfId="0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2" fillId="36" borderId="11" xfId="48" applyBorder="1" applyAlignment="1">
      <alignment vertical="top"/>
    </xf>
    <xf numFmtId="0" fontId="22" fillId="36" borderId="12" xfId="48" applyBorder="1" applyAlignment="1">
      <alignment vertical="top"/>
    </xf>
    <xf numFmtId="0" fontId="22" fillId="36" borderId="13" xfId="48" applyBorder="1" applyAlignment="1">
      <alignment vertical="top"/>
    </xf>
    <xf numFmtId="0" fontId="22" fillId="36" borderId="16" xfId="48" applyBorder="1"/>
    <xf numFmtId="0" fontId="22" fillId="36" borderId="17" xfId="48" applyBorder="1"/>
    <xf numFmtId="0" fontId="22" fillId="36" borderId="14" xfId="48" applyBorder="1" applyAlignment="1">
      <alignment vertical="center"/>
    </xf>
    <xf numFmtId="0" fontId="22" fillId="36" borderId="11" xfId="48" applyBorder="1" applyAlignment="1">
      <alignment vertical="center"/>
    </xf>
    <xf numFmtId="0" fontId="22" fillId="36" borderId="12" xfId="48" applyBorder="1" applyAlignment="1">
      <alignment vertical="center"/>
    </xf>
    <xf numFmtId="0" fontId="22" fillId="36" borderId="0" xfId="48" applyBorder="1" applyAlignment="1">
      <alignment vertical="center"/>
    </xf>
    <xf numFmtId="0" fontId="20" fillId="33" borderId="14" xfId="50" applyBorder="1"/>
    <xf numFmtId="0" fontId="20" fillId="33" borderId="0" xfId="50" applyBorder="1"/>
    <xf numFmtId="0" fontId="0" fillId="0" borderId="15" xfId="0" applyBorder="1"/>
    <xf numFmtId="2" fontId="20" fillId="37" borderId="14" xfId="51" applyBorder="1"/>
    <xf numFmtId="2" fontId="20" fillId="37" borderId="0" xfId="51" applyBorder="1"/>
    <xf numFmtId="2" fontId="20" fillId="38" borderId="14" xfId="52" applyBorder="1"/>
    <xf numFmtId="2" fontId="20" fillId="38" borderId="0" xfId="52" applyBorder="1"/>
    <xf numFmtId="1" fontId="20" fillId="39" borderId="14" xfId="53" applyBorder="1"/>
    <xf numFmtId="1" fontId="20" fillId="39" borderId="0" xfId="53" applyBorder="1"/>
    <xf numFmtId="2" fontId="20" fillId="40" borderId="16" xfId="54" applyBorder="1"/>
    <xf numFmtId="2" fontId="20" fillId="40" borderId="17" xfId="54" applyBorder="1"/>
    <xf numFmtId="0" fontId="0" fillId="0" borderId="18" xfId="0" applyBorder="1"/>
    <xf numFmtId="0" fontId="22" fillId="36" borderId="14" xfId="48" applyBorder="1" applyAlignment="1">
      <alignment horizontal="left" vertical="top"/>
    </xf>
    <xf numFmtId="0" fontId="0" fillId="0" borderId="0" xfId="0" applyProtection="1"/>
    <xf numFmtId="1" fontId="20" fillId="39" borderId="0" xfId="53" applyAlignment="1" applyProtection="1">
      <alignment horizontal="center"/>
      <protection locked="0"/>
    </xf>
    <xf numFmtId="2" fontId="20" fillId="37" borderId="0" xfId="51" applyProtection="1">
      <protection locked="0"/>
    </xf>
    <xf numFmtId="2" fontId="0" fillId="37" borderId="0" xfId="51" applyFont="1" applyAlignment="1" applyProtection="1">
      <alignment horizontal="left" vertical="top"/>
      <protection locked="0"/>
    </xf>
    <xf numFmtId="2" fontId="20" fillId="37" borderId="0" xfId="51" applyAlignment="1" applyProtection="1">
      <alignment horizontal="left" vertical="top"/>
      <protection locked="0"/>
    </xf>
    <xf numFmtId="1" fontId="20" fillId="39" borderId="0" xfId="53" applyAlignment="1" applyProtection="1">
      <alignment horizontal="center" vertical="top"/>
      <protection locked="0"/>
    </xf>
    <xf numFmtId="2" fontId="0" fillId="37" borderId="0" xfId="51" applyFont="1" applyProtection="1">
      <protection locked="0"/>
    </xf>
    <xf numFmtId="0" fontId="21" fillId="34" borderId="0" xfId="1" applyProtection="1"/>
    <xf numFmtId="0" fontId="22" fillId="36" borderId="0" xfId="48" applyProtection="1"/>
    <xf numFmtId="0" fontId="22" fillId="35" borderId="0" xfId="49" applyProtection="1"/>
    <xf numFmtId="0" fontId="0" fillId="33" borderId="0" xfId="50" applyFont="1" applyProtection="1"/>
    <xf numFmtId="0" fontId="20" fillId="33" borderId="0" xfId="50" applyAlignment="1" applyProtection="1">
      <alignment horizontal="center" vertical="top"/>
    </xf>
    <xf numFmtId="0" fontId="20" fillId="33" borderId="0" xfId="50" applyProtection="1"/>
    <xf numFmtId="0" fontId="22" fillId="35" borderId="0" xfId="49" applyAlignment="1" applyProtection="1">
      <alignment horizontal="center"/>
    </xf>
    <xf numFmtId="0" fontId="0" fillId="0" borderId="0" xfId="0" applyAlignment="1" applyProtection="1">
      <alignment horizontal="center"/>
    </xf>
    <xf numFmtId="0" fontId="22" fillId="36" borderId="0" xfId="48" applyAlignment="1" applyProtection="1">
      <alignment horizontal="center"/>
    </xf>
    <xf numFmtId="0" fontId="0" fillId="33" borderId="0" xfId="50" applyFont="1" applyAlignment="1" applyProtection="1">
      <alignment horizontal="center"/>
    </xf>
    <xf numFmtId="0" fontId="22" fillId="35" borderId="0" xfId="49" applyAlignment="1" applyProtection="1">
      <alignment horizontal="left"/>
    </xf>
    <xf numFmtId="0" fontId="26" fillId="0" borderId="0" xfId="0" applyFont="1" applyAlignment="1">
      <alignment horizontal="right"/>
    </xf>
    <xf numFmtId="0" fontId="28" fillId="0" borderId="0" xfId="0" applyFont="1"/>
    <xf numFmtId="0" fontId="29" fillId="0" borderId="0" xfId="0" applyFont="1" applyBorder="1" applyProtection="1"/>
    <xf numFmtId="0" fontId="24" fillId="0" borderId="0" xfId="0" applyFont="1" applyBorder="1" applyProtection="1"/>
    <xf numFmtId="0" fontId="24" fillId="0" borderId="0" xfId="0" applyFont="1" applyProtection="1"/>
    <xf numFmtId="0" fontId="22" fillId="35" borderId="0" xfId="49" applyAlignment="1" applyProtection="1">
      <alignment vertical="top"/>
    </xf>
    <xf numFmtId="0" fontId="22" fillId="35" borderId="0" xfId="49" applyAlignment="1" applyProtection="1">
      <alignment vertical="top" wrapText="1"/>
    </xf>
    <xf numFmtId="0" fontId="22" fillId="35" borderId="0" xfId="49" applyAlignment="1" applyProtection="1">
      <alignment horizontal="center" vertical="top" wrapText="1"/>
    </xf>
    <xf numFmtId="2" fontId="0" fillId="37" borderId="0" xfId="51" quotePrefix="1" applyFont="1" applyAlignment="1" applyProtection="1">
      <alignment vertical="top"/>
      <protection locked="0"/>
    </xf>
    <xf numFmtId="2" fontId="0" fillId="37" borderId="0" xfId="51" applyFont="1" applyAlignment="1" applyProtection="1">
      <alignment vertical="top"/>
      <protection locked="0"/>
    </xf>
    <xf numFmtId="1" fontId="20" fillId="39" borderId="0" xfId="53" applyAlignment="1">
      <alignment horizontal="center"/>
    </xf>
    <xf numFmtId="0" fontId="0" fillId="0" borderId="0" xfId="0" applyFill="1"/>
    <xf numFmtId="0" fontId="24" fillId="0" borderId="0" xfId="0" applyFont="1"/>
    <xf numFmtId="2" fontId="20" fillId="38" borderId="0" xfId="52" applyAlignment="1">
      <alignment horizontal="center"/>
    </xf>
    <xf numFmtId="0" fontId="20" fillId="0" borderId="0" xfId="50" applyFill="1"/>
    <xf numFmtId="1" fontId="20" fillId="0" borderId="0" xfId="53" applyFill="1" applyAlignment="1" applyProtection="1">
      <alignment horizontal="center"/>
      <protection locked="0"/>
    </xf>
    <xf numFmtId="2" fontId="20" fillId="39" borderId="0" xfId="53" applyNumberFormat="1" applyAlignment="1">
      <alignment horizontal="center"/>
    </xf>
    <xf numFmtId="0" fontId="30" fillId="0" borderId="0" xfId="0" applyFont="1"/>
    <xf numFmtId="0" fontId="29" fillId="0" borderId="0" xfId="0" applyFont="1" applyBorder="1"/>
    <xf numFmtId="0" fontId="24" fillId="0" borderId="0" xfId="0" applyFont="1" applyBorder="1"/>
    <xf numFmtId="0" fontId="24" fillId="0" borderId="0" xfId="0" applyFont="1" applyAlignment="1">
      <alignment vertical="top"/>
    </xf>
    <xf numFmtId="0" fontId="22" fillId="36" borderId="0" xfId="48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horizontal="right" vertical="top"/>
    </xf>
    <xf numFmtId="0" fontId="22" fillId="36" borderId="0" xfId="48" applyAlignment="1">
      <alignment horizontal="center" vertical="top" wrapText="1"/>
    </xf>
    <xf numFmtId="0" fontId="22" fillId="36" borderId="0" xfId="48" applyAlignment="1">
      <alignment vertical="top" wrapText="1"/>
    </xf>
    <xf numFmtId="0" fontId="28" fillId="0" borderId="0" xfId="0" applyFont="1" applyAlignment="1">
      <alignment vertical="top"/>
    </xf>
    <xf numFmtId="0" fontId="31" fillId="0" borderId="0" xfId="0" applyFont="1"/>
    <xf numFmtId="3" fontId="31" fillId="0" borderId="0" xfId="0" applyNumberFormat="1" applyFont="1"/>
    <xf numFmtId="0" fontId="32" fillId="36" borderId="0" xfId="48" applyFont="1"/>
    <xf numFmtId="0" fontId="32" fillId="35" borderId="0" xfId="49" applyFont="1"/>
    <xf numFmtId="0" fontId="31" fillId="33" borderId="0" xfId="50" applyFont="1"/>
    <xf numFmtId="3" fontId="31" fillId="38" borderId="0" xfId="52" applyNumberFormat="1" applyFont="1"/>
    <xf numFmtId="0" fontId="32" fillId="35" borderId="0" xfId="49" applyFont="1" applyAlignment="1">
      <alignment horizontal="right"/>
    </xf>
    <xf numFmtId="3" fontId="31" fillId="38" borderId="0" xfId="52" applyNumberFormat="1" applyFont="1" applyAlignment="1">
      <alignment horizontal="right"/>
    </xf>
    <xf numFmtId="0" fontId="31" fillId="0" borderId="0" xfId="0" applyFont="1" applyAlignment="1">
      <alignment horizontal="right"/>
    </xf>
    <xf numFmtId="0" fontId="32" fillId="36" borderId="0" xfId="48" applyFont="1" applyAlignment="1">
      <alignment horizontal="right"/>
    </xf>
    <xf numFmtId="3" fontId="31" fillId="0" borderId="0" xfId="0" applyNumberFormat="1" applyFont="1" applyAlignment="1">
      <alignment horizontal="right"/>
    </xf>
    <xf numFmtId="3" fontId="0" fillId="0" borderId="0" xfId="0" applyNumberFormat="1"/>
    <xf numFmtId="0" fontId="32" fillId="35" borderId="0" xfId="49" applyFont="1" applyAlignment="1">
      <alignment horizontal="left"/>
    </xf>
    <xf numFmtId="0" fontId="31" fillId="33" borderId="0" xfId="50" applyFont="1" applyAlignment="1">
      <alignment horizontal="left"/>
    </xf>
    <xf numFmtId="0" fontId="32" fillId="0" borderId="0" xfId="49" applyFont="1" applyFill="1"/>
    <xf numFmtId="0" fontId="31" fillId="0" borderId="0" xfId="0" applyFont="1" applyFill="1"/>
    <xf numFmtId="0" fontId="32" fillId="0" borderId="0" xfId="48" applyFont="1" applyFill="1"/>
    <xf numFmtId="4" fontId="32" fillId="35" borderId="0" xfId="49" applyNumberFormat="1" applyFont="1"/>
    <xf numFmtId="0" fontId="33" fillId="0" borderId="0" xfId="49" applyFont="1" applyFill="1" applyAlignment="1">
      <alignment horizontal="right"/>
    </xf>
    <xf numFmtId="0" fontId="32" fillId="35" borderId="0" xfId="49" applyFont="1" applyAlignment="1">
      <alignment horizontal="right" wrapText="1"/>
    </xf>
    <xf numFmtId="3" fontId="31" fillId="40" borderId="0" xfId="54" applyNumberFormat="1" applyFont="1" applyBorder="1"/>
    <xf numFmtId="0" fontId="34" fillId="33" borderId="0" xfId="50" applyFont="1" applyAlignment="1">
      <alignment horizontal="left"/>
    </xf>
    <xf numFmtId="3" fontId="31" fillId="38" borderId="10" xfId="52" applyNumberFormat="1" applyFont="1" applyBorder="1"/>
    <xf numFmtId="0" fontId="31" fillId="0" borderId="0" xfId="0" applyFont="1" applyBorder="1"/>
    <xf numFmtId="0" fontId="31" fillId="0" borderId="0" xfId="0" applyFont="1" applyFill="1" applyBorder="1"/>
    <xf numFmtId="0" fontId="32" fillId="0" borderId="0" xfId="49" applyFont="1" applyFill="1" applyBorder="1"/>
    <xf numFmtId="0" fontId="32" fillId="0" borderId="0" xfId="49" applyFont="1" applyFill="1" applyBorder="1" applyAlignment="1">
      <alignment horizontal="left"/>
    </xf>
    <xf numFmtId="0" fontId="32" fillId="0" borderId="0" xfId="49" applyFont="1" applyFill="1" applyBorder="1" applyAlignment="1">
      <alignment horizontal="right"/>
    </xf>
    <xf numFmtId="0" fontId="31" fillId="0" borderId="0" xfId="50" applyFont="1" applyFill="1" applyBorder="1"/>
    <xf numFmtId="3" fontId="31" fillId="0" borderId="0" xfId="54" applyNumberFormat="1" applyFont="1" applyFill="1" applyBorder="1"/>
    <xf numFmtId="3" fontId="31" fillId="0" borderId="0" xfId="0" applyNumberFormat="1" applyFont="1" applyFill="1" applyBorder="1"/>
    <xf numFmtId="3" fontId="21" fillId="34" borderId="0" xfId="1" applyNumberFormat="1"/>
    <xf numFmtId="6" fontId="22" fillId="36" borderId="0" xfId="48" applyNumberFormat="1"/>
    <xf numFmtId="0" fontId="32" fillId="36" borderId="0" xfId="48" applyFont="1" applyAlignment="1">
      <alignment horizontal="left"/>
    </xf>
    <xf numFmtId="3" fontId="31" fillId="0" borderId="0" xfId="0" applyNumberFormat="1" applyFont="1" applyAlignment="1">
      <alignment horizontal="left"/>
    </xf>
    <xf numFmtId="4" fontId="31" fillId="0" borderId="0" xfId="0" applyNumberFormat="1" applyFont="1" applyAlignment="1">
      <alignment horizontal="right"/>
    </xf>
    <xf numFmtId="8" fontId="0" fillId="0" borderId="0" xfId="0" applyNumberFormat="1"/>
    <xf numFmtId="2" fontId="0" fillId="0" borderId="0" xfId="0" applyNumberFormat="1"/>
    <xf numFmtId="0" fontId="34" fillId="0" borderId="0" xfId="0" applyFont="1"/>
    <xf numFmtId="0" fontId="31" fillId="0" borderId="0" xfId="0" applyFont="1" applyAlignment="1">
      <alignment wrapText="1"/>
    </xf>
    <xf numFmtId="2" fontId="31" fillId="0" borderId="0" xfId="0" applyNumberFormat="1" applyFont="1" applyAlignment="1">
      <alignment wrapText="1"/>
    </xf>
    <xf numFmtId="3" fontId="31" fillId="0" borderId="0" xfId="52" applyNumberFormat="1" applyFont="1" applyFill="1"/>
    <xf numFmtId="3" fontId="31" fillId="0" borderId="0" xfId="51" applyNumberFormat="1" applyFont="1" applyFill="1" applyBorder="1"/>
    <xf numFmtId="4" fontId="32" fillId="0" borderId="0" xfId="49" applyNumberFormat="1" applyFont="1" applyFill="1"/>
    <xf numFmtId="3" fontId="31" fillId="0" borderId="0" xfId="0" applyNumberFormat="1" applyFont="1" applyFill="1"/>
    <xf numFmtId="3" fontId="31" fillId="0" borderId="0" xfId="0" applyNumberFormat="1" applyFont="1" applyFill="1" applyAlignment="1">
      <alignment horizontal="left"/>
    </xf>
    <xf numFmtId="168" fontId="20" fillId="0" borderId="22" xfId="0" applyNumberFormat="1" applyFont="1" applyBorder="1" applyAlignment="1">
      <alignment horizontal="left" vertical="top"/>
    </xf>
    <xf numFmtId="0" fontId="20" fillId="0" borderId="23" xfId="0" applyFont="1" applyBorder="1" applyAlignment="1">
      <alignment horizontal="left" vertical="top"/>
    </xf>
    <xf numFmtId="0" fontId="24" fillId="0" borderId="23" xfId="0" applyFont="1" applyBorder="1" applyAlignment="1">
      <alignment vertical="center"/>
    </xf>
    <xf numFmtId="0" fontId="20" fillId="0" borderId="24" xfId="0" applyFont="1" applyBorder="1" applyAlignment="1">
      <alignment horizontal="left" vertical="top"/>
    </xf>
    <xf numFmtId="0" fontId="35" fillId="0" borderId="0" xfId="49" applyFont="1" applyFill="1" applyProtection="1"/>
    <xf numFmtId="0" fontId="35" fillId="0" borderId="0" xfId="48" applyFont="1" applyFill="1" applyProtection="1"/>
    <xf numFmtId="0" fontId="20" fillId="38" borderId="0" xfId="52" applyNumberFormat="1" applyAlignment="1">
      <alignment horizontal="center"/>
    </xf>
    <xf numFmtId="0" fontId="20" fillId="38" borderId="0" xfId="52" applyNumberFormat="1" applyAlignment="1">
      <alignment horizontal="right"/>
    </xf>
    <xf numFmtId="2" fontId="20" fillId="38" borderId="0" xfId="52" applyNumberFormat="1" applyAlignment="1">
      <alignment horizontal="right"/>
    </xf>
    <xf numFmtId="2" fontId="31" fillId="33" borderId="0" xfId="50" applyNumberFormat="1" applyFont="1" applyAlignment="1">
      <alignment horizontal="left"/>
    </xf>
    <xf numFmtId="0" fontId="37" fillId="34" borderId="0" xfId="1" applyFont="1"/>
    <xf numFmtId="0" fontId="32" fillId="35" borderId="0" xfId="49" applyFont="1" applyAlignment="1">
      <alignment horizontal="center"/>
    </xf>
    <xf numFmtId="0" fontId="31" fillId="0" borderId="0" xfId="50" applyFont="1" applyFill="1" applyAlignment="1">
      <alignment horizontal="left"/>
    </xf>
    <xf numFmtId="9" fontId="31" fillId="0" borderId="0" xfId="52" applyNumberFormat="1" applyFont="1" applyFill="1"/>
    <xf numFmtId="0" fontId="32" fillId="35" borderId="0" xfId="49" applyFont="1" applyBorder="1" applyAlignment="1">
      <alignment horizontal="right"/>
    </xf>
    <xf numFmtId="3" fontId="31" fillId="40" borderId="26" xfId="54" applyNumberFormat="1" applyFont="1" applyBorder="1"/>
    <xf numFmtId="0" fontId="31" fillId="33" borderId="0" xfId="50" applyFont="1" applyAlignment="1">
      <alignment horizontal="center"/>
    </xf>
    <xf numFmtId="3" fontId="32" fillId="36" borderId="0" xfId="48" applyNumberFormat="1" applyFont="1" applyAlignment="1">
      <alignment horizontal="right"/>
    </xf>
    <xf numFmtId="0" fontId="32" fillId="35" borderId="0" xfId="49" applyFont="1" applyProtection="1"/>
    <xf numFmtId="0" fontId="31" fillId="38" borderId="0" xfId="52" applyNumberFormat="1" applyFont="1" applyAlignment="1">
      <alignment horizontal="right"/>
    </xf>
    <xf numFmtId="0" fontId="32" fillId="0" borderId="0" xfId="48" applyFont="1" applyFill="1" applyAlignment="1">
      <alignment horizontal="left"/>
    </xf>
    <xf numFmtId="0" fontId="32" fillId="0" borderId="0" xfId="49" applyFont="1" applyFill="1" applyAlignment="1">
      <alignment horizontal="left"/>
    </xf>
    <xf numFmtId="0" fontId="22" fillId="35" borderId="0" xfId="49" applyAlignment="1"/>
    <xf numFmtId="3" fontId="20" fillId="38" borderId="26" xfId="52" applyNumberFormat="1" applyBorder="1"/>
    <xf numFmtId="3" fontId="31" fillId="0" borderId="0" xfId="52" applyNumberFormat="1" applyFont="1" applyFill="1" applyAlignment="1">
      <alignment horizontal="right"/>
    </xf>
    <xf numFmtId="3" fontId="32" fillId="36" borderId="0" xfId="48" applyNumberFormat="1" applyFont="1" applyAlignment="1">
      <alignment horizontal="left"/>
    </xf>
    <xf numFmtId="4" fontId="0" fillId="0" borderId="0" xfId="0" applyNumberFormat="1"/>
    <xf numFmtId="3" fontId="25" fillId="0" borderId="0" xfId="0" applyNumberFormat="1" applyFont="1"/>
    <xf numFmtId="0" fontId="31" fillId="0" borderId="0" xfId="0" applyFont="1" applyAlignment="1">
      <alignment horizontal="left"/>
    </xf>
    <xf numFmtId="9" fontId="31" fillId="0" borderId="0" xfId="0" applyNumberFormat="1" applyFont="1" applyAlignment="1">
      <alignment horizontal="right"/>
    </xf>
    <xf numFmtId="1" fontId="31" fillId="0" borderId="0" xfId="0" applyNumberFormat="1" applyFont="1" applyAlignment="1">
      <alignment horizontal="right"/>
    </xf>
    <xf numFmtId="170" fontId="0" fillId="0" borderId="0" xfId="0" applyNumberFormat="1"/>
    <xf numFmtId="0" fontId="34" fillId="0" borderId="0" xfId="0" applyFont="1" applyFill="1"/>
    <xf numFmtId="2" fontId="31" fillId="0" borderId="0" xfId="0" applyNumberFormat="1" applyFont="1" applyAlignment="1">
      <alignment horizontal="left"/>
    </xf>
    <xf numFmtId="3" fontId="20" fillId="38" borderId="0" xfId="52" applyNumberFormat="1" applyBorder="1"/>
    <xf numFmtId="0" fontId="32" fillId="0" borderId="0" xfId="49" applyFont="1" applyFill="1" applyBorder="1" applyAlignment="1">
      <alignment horizontal="center"/>
    </xf>
    <xf numFmtId="0" fontId="32" fillId="0" borderId="0" xfId="49" applyFont="1" applyFill="1" applyAlignment="1">
      <alignment horizontal="right"/>
    </xf>
    <xf numFmtId="0" fontId="32" fillId="0" borderId="0" xfId="49" applyFont="1" applyFill="1" applyAlignment="1"/>
    <xf numFmtId="3" fontId="31" fillId="0" borderId="0" xfId="52" applyNumberFormat="1" applyFont="1" applyFill="1" applyBorder="1" applyAlignment="1">
      <alignment horizontal="right"/>
    </xf>
    <xf numFmtId="0" fontId="32" fillId="0" borderId="0" xfId="49" applyFont="1" applyFill="1" applyBorder="1" applyAlignment="1"/>
    <xf numFmtId="3" fontId="31" fillId="0" borderId="0" xfId="0" applyNumberFormat="1" applyFont="1" applyFill="1" applyBorder="1" applyAlignment="1">
      <alignment horizontal="right"/>
    </xf>
    <xf numFmtId="169" fontId="31" fillId="0" borderId="0" xfId="0" applyNumberFormat="1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0" xfId="0" applyFont="1" applyFill="1" applyAlignment="1">
      <alignment wrapText="1"/>
    </xf>
    <xf numFmtId="0" fontId="31" fillId="0" borderId="0" xfId="0" applyFont="1" applyFill="1" applyBorder="1" applyAlignment="1">
      <alignment wrapText="1"/>
    </xf>
    <xf numFmtId="10" fontId="31" fillId="0" borderId="0" xfId="0" applyNumberFormat="1" applyFont="1" applyFill="1" applyBorder="1" applyAlignment="1">
      <alignment wrapText="1"/>
    </xf>
    <xf numFmtId="1" fontId="31" fillId="0" borderId="0" xfId="0" applyNumberFormat="1" applyFont="1" applyFill="1" applyBorder="1" applyAlignment="1">
      <alignment wrapText="1"/>
    </xf>
    <xf numFmtId="2" fontId="31" fillId="0" borderId="0" xfId="0" applyNumberFormat="1" applyFont="1" applyFill="1" applyBorder="1"/>
    <xf numFmtId="2" fontId="31" fillId="0" borderId="0" xfId="0" applyNumberFormat="1" applyFont="1" applyFill="1" applyBorder="1" applyAlignment="1">
      <alignment wrapText="1"/>
    </xf>
    <xf numFmtId="0" fontId="32" fillId="0" borderId="0" xfId="49" applyFont="1" applyFill="1" applyAlignment="1">
      <alignment horizontal="center" wrapText="1"/>
    </xf>
    <xf numFmtId="0" fontId="32" fillId="0" borderId="0" xfId="49" applyFont="1" applyFill="1" applyAlignment="1">
      <alignment horizontal="right" wrapText="1"/>
    </xf>
    <xf numFmtId="3" fontId="31" fillId="0" borderId="0" xfId="52" applyNumberFormat="1" applyFont="1" applyFill="1" applyAlignment="1">
      <alignment horizontal="right" wrapText="1"/>
    </xf>
    <xf numFmtId="3" fontId="31" fillId="40" borderId="0" xfId="52" applyNumberFormat="1" applyFont="1" applyFill="1" applyAlignment="1">
      <alignment horizontal="right"/>
    </xf>
    <xf numFmtId="3" fontId="31" fillId="40" borderId="25" xfId="52" applyNumberFormat="1" applyFont="1" applyFill="1" applyBorder="1" applyAlignment="1">
      <alignment horizontal="right"/>
    </xf>
    <xf numFmtId="3" fontId="31" fillId="40" borderId="21" xfId="52" applyNumberFormat="1" applyFont="1" applyFill="1" applyBorder="1" applyAlignment="1">
      <alignment horizontal="right"/>
    </xf>
    <xf numFmtId="3" fontId="31" fillId="40" borderId="19" xfId="52" applyNumberFormat="1" applyFont="1" applyFill="1" applyBorder="1" applyAlignment="1">
      <alignment horizontal="right"/>
    </xf>
    <xf numFmtId="3" fontId="31" fillId="40" borderId="0" xfId="52" applyNumberFormat="1" applyFont="1" applyFill="1"/>
    <xf numFmtId="0" fontId="33" fillId="0" borderId="0" xfId="0" applyFont="1" applyProtection="1"/>
    <xf numFmtId="0" fontId="38" fillId="0" borderId="0" xfId="0" applyFont="1" applyBorder="1" applyProtection="1"/>
    <xf numFmtId="0" fontId="31" fillId="0" borderId="0" xfId="0" applyFont="1" applyAlignment="1" applyProtection="1">
      <alignment horizontal="left"/>
    </xf>
    <xf numFmtId="0" fontId="31" fillId="0" borderId="0" xfId="0" applyFont="1" applyProtection="1"/>
    <xf numFmtId="0" fontId="31" fillId="0" borderId="0" xfId="0" applyFont="1" applyFill="1" applyProtection="1"/>
    <xf numFmtId="0" fontId="33" fillId="0" borderId="0" xfId="0" applyFont="1" applyBorder="1" applyProtection="1"/>
    <xf numFmtId="0" fontId="31" fillId="0" borderId="0" xfId="0" applyFont="1" applyAlignment="1" applyProtection="1">
      <alignment horizontal="right"/>
    </xf>
    <xf numFmtId="0" fontId="39" fillId="0" borderId="0" xfId="0" applyFont="1" applyProtection="1"/>
    <xf numFmtId="0" fontId="37" fillId="34" borderId="0" xfId="1" applyFont="1" applyProtection="1"/>
    <xf numFmtId="0" fontId="37" fillId="34" borderId="0" xfId="1" applyFont="1" applyAlignment="1" applyProtection="1">
      <alignment horizontal="left"/>
    </xf>
    <xf numFmtId="0" fontId="33" fillId="0" borderId="0" xfId="0" applyFont="1" applyFill="1" applyAlignment="1" applyProtection="1">
      <alignment horizontal="center"/>
    </xf>
    <xf numFmtId="0" fontId="31" fillId="0" borderId="0" xfId="0" applyFont="1" applyAlignment="1" applyProtection="1">
      <alignment horizontal="center"/>
    </xf>
    <xf numFmtId="0" fontId="32" fillId="35" borderId="0" xfId="49" applyFont="1" applyAlignment="1" applyProtection="1">
      <alignment horizontal="left"/>
    </xf>
    <xf numFmtId="0" fontId="32" fillId="35" borderId="0" xfId="49" applyFont="1" applyAlignment="1" applyProtection="1">
      <alignment horizontal="center"/>
    </xf>
    <xf numFmtId="0" fontId="31" fillId="33" borderId="0" xfId="50" applyFont="1" applyProtection="1"/>
    <xf numFmtId="0" fontId="31" fillId="33" borderId="0" xfId="50" applyFont="1" applyAlignment="1" applyProtection="1">
      <alignment horizontal="left"/>
    </xf>
    <xf numFmtId="0" fontId="31" fillId="33" borderId="0" xfId="50" applyFont="1" applyAlignment="1" applyProtection="1">
      <alignment horizontal="center"/>
    </xf>
    <xf numFmtId="10" fontId="31" fillId="39" borderId="0" xfId="53" applyNumberFormat="1" applyFont="1" applyAlignment="1" applyProtection="1">
      <alignment horizontal="center"/>
      <protection locked="0"/>
    </xf>
    <xf numFmtId="10" fontId="31" fillId="38" borderId="0" xfId="52" applyNumberFormat="1" applyFont="1" applyAlignment="1" applyProtection="1">
      <alignment horizontal="center"/>
    </xf>
    <xf numFmtId="0" fontId="32" fillId="36" borderId="0" xfId="48" applyFont="1" applyFill="1" applyProtection="1"/>
    <xf numFmtId="0" fontId="31" fillId="36" borderId="0" xfId="0" applyFont="1" applyFill="1" applyAlignment="1" applyProtection="1">
      <alignment horizontal="left"/>
    </xf>
    <xf numFmtId="0" fontId="31" fillId="36" borderId="0" xfId="0" applyFont="1" applyFill="1" applyProtection="1"/>
    <xf numFmtId="0" fontId="31" fillId="36" borderId="0" xfId="0" applyFont="1" applyFill="1" applyAlignment="1" applyProtection="1">
      <alignment horizontal="center"/>
    </xf>
    <xf numFmtId="171" fontId="31" fillId="39" borderId="0" xfId="53" applyNumberFormat="1" applyFont="1" applyAlignment="1" applyProtection="1">
      <alignment horizontal="center"/>
      <protection locked="0"/>
    </xf>
    <xf numFmtId="9" fontId="31" fillId="39" borderId="0" xfId="53" applyNumberFormat="1" applyFont="1" applyAlignment="1" applyProtection="1">
      <alignment horizontal="center"/>
      <protection locked="0"/>
    </xf>
    <xf numFmtId="9" fontId="31" fillId="38" borderId="0" xfId="52" applyNumberFormat="1" applyFont="1" applyAlignment="1" applyProtection="1">
      <alignment horizontal="center"/>
    </xf>
    <xf numFmtId="0" fontId="33" fillId="0" borderId="0" xfId="0" applyFont="1" applyFill="1" applyProtection="1"/>
    <xf numFmtId="3" fontId="31" fillId="0" borderId="0" xfId="0" applyNumberFormat="1" applyFont="1" applyProtection="1"/>
    <xf numFmtId="0" fontId="33" fillId="0" borderId="0" xfId="0" applyFont="1" applyFill="1" applyAlignment="1" applyProtection="1">
      <alignment horizontal="left"/>
    </xf>
    <xf numFmtId="3" fontId="33" fillId="0" borderId="0" xfId="0" applyNumberFormat="1" applyFont="1" applyFill="1" applyProtection="1"/>
    <xf numFmtId="0" fontId="32" fillId="35" borderId="0" xfId="49" applyFont="1" applyAlignment="1" applyProtection="1">
      <alignment horizontal="center" vertical="top" wrapText="1"/>
    </xf>
    <xf numFmtId="0" fontId="32" fillId="35" borderId="0" xfId="49" applyFont="1" applyAlignment="1" applyProtection="1">
      <alignment horizontal="left" vertical="top" wrapText="1"/>
    </xf>
    <xf numFmtId="0" fontId="32" fillId="35" borderId="0" xfId="49" applyFont="1" applyAlignment="1" applyProtection="1">
      <alignment horizontal="right" vertical="top" wrapText="1"/>
    </xf>
    <xf numFmtId="2" fontId="31" fillId="37" borderId="0" xfId="51" applyFont="1" applyBorder="1" applyAlignment="1">
      <alignment horizontal="left"/>
    </xf>
    <xf numFmtId="3" fontId="31" fillId="37" borderId="0" xfId="51" applyNumberFormat="1" applyFont="1" applyBorder="1" applyAlignment="1">
      <alignment horizontal="right"/>
    </xf>
    <xf numFmtId="0" fontId="31" fillId="37" borderId="0" xfId="51" applyNumberFormat="1" applyFont="1" applyBorder="1" applyAlignment="1">
      <alignment horizontal="right"/>
    </xf>
    <xf numFmtId="0" fontId="38" fillId="0" borderId="0" xfId="0" applyFont="1" applyFill="1" applyProtection="1"/>
    <xf numFmtId="0" fontId="38" fillId="0" borderId="0" xfId="0" applyFont="1" applyProtection="1"/>
    <xf numFmtId="2" fontId="31" fillId="37" borderId="19" xfId="51" applyFont="1" applyBorder="1" applyAlignment="1">
      <alignment horizontal="left"/>
    </xf>
    <xf numFmtId="3" fontId="31" fillId="37" borderId="19" xfId="51" applyNumberFormat="1" applyFont="1" applyBorder="1" applyAlignment="1">
      <alignment horizontal="right"/>
    </xf>
    <xf numFmtId="0" fontId="31" fillId="37" borderId="19" xfId="51" applyNumberFormat="1" applyFont="1" applyBorder="1" applyAlignment="1">
      <alignment horizontal="right"/>
    </xf>
    <xf numFmtId="2" fontId="31" fillId="37" borderId="20" xfId="51" applyFont="1" applyBorder="1" applyAlignment="1">
      <alignment horizontal="left"/>
    </xf>
    <xf numFmtId="3" fontId="31" fillId="37" borderId="20" xfId="51" applyNumberFormat="1" applyFont="1" applyBorder="1" applyAlignment="1">
      <alignment horizontal="right"/>
    </xf>
    <xf numFmtId="0" fontId="31" fillId="37" borderId="20" xfId="51" applyNumberFormat="1" applyFont="1" applyBorder="1" applyAlignment="1">
      <alignment horizontal="right"/>
    </xf>
    <xf numFmtId="3" fontId="31" fillId="37" borderId="20" xfId="51" applyNumberFormat="1" applyFont="1" applyBorder="1"/>
    <xf numFmtId="0" fontId="31" fillId="37" borderId="20" xfId="51" applyNumberFormat="1" applyFont="1" applyBorder="1"/>
    <xf numFmtId="1" fontId="39" fillId="0" borderId="0" xfId="53" applyFont="1" applyFill="1" applyAlignment="1">
      <alignment horizontal="center"/>
    </xf>
    <xf numFmtId="0" fontId="33" fillId="0" borderId="0" xfId="0" applyFont="1" applyFill="1" applyBorder="1" applyProtection="1"/>
    <xf numFmtId="0" fontId="40" fillId="0" borderId="0" xfId="0" applyFont="1" applyProtection="1"/>
    <xf numFmtId="2" fontId="31" fillId="37" borderId="0" xfId="51" applyFont="1"/>
    <xf numFmtId="3" fontId="31" fillId="37" borderId="0" xfId="51" applyNumberFormat="1" applyFont="1" applyBorder="1"/>
    <xf numFmtId="0" fontId="31" fillId="37" borderId="0" xfId="51" applyNumberFormat="1" applyFont="1" applyAlignment="1">
      <alignment horizontal="right"/>
    </xf>
    <xf numFmtId="3" fontId="33" fillId="0" borderId="0" xfId="0" applyNumberFormat="1" applyFont="1" applyProtection="1"/>
    <xf numFmtId="0" fontId="32" fillId="36" borderId="0" xfId="48" applyFont="1" applyProtection="1"/>
    <xf numFmtId="0" fontId="32" fillId="36" borderId="0" xfId="48" applyFont="1" applyAlignment="1" applyProtection="1">
      <alignment horizontal="left"/>
    </xf>
    <xf numFmtId="0" fontId="32" fillId="36" borderId="0" xfId="48" applyFont="1" applyAlignment="1" applyProtection="1">
      <alignment horizontal="center"/>
    </xf>
    <xf numFmtId="0" fontId="32" fillId="35" borderId="0" xfId="49" applyFont="1" applyAlignment="1" applyProtection="1">
      <alignment horizontal="right"/>
    </xf>
    <xf numFmtId="0" fontId="31" fillId="33" borderId="0" xfId="50" applyNumberFormat="1" applyFont="1" applyAlignment="1">
      <alignment horizontal="left"/>
    </xf>
    <xf numFmtId="3" fontId="31" fillId="0" borderId="0" xfId="0" applyNumberFormat="1" applyFont="1" applyFill="1" applyProtection="1"/>
    <xf numFmtId="0" fontId="31" fillId="33" borderId="0" xfId="51" applyNumberFormat="1" applyFont="1" applyFill="1" applyAlignment="1" applyProtection="1">
      <alignment horizontal="left"/>
      <protection locked="0"/>
    </xf>
    <xf numFmtId="6" fontId="31" fillId="0" borderId="0" xfId="0" applyNumberFormat="1" applyFont="1" applyFill="1" applyProtection="1"/>
    <xf numFmtId="0" fontId="37" fillId="34" borderId="0" xfId="1" applyFont="1" applyAlignment="1" applyProtection="1">
      <alignment horizontal="center"/>
    </xf>
    <xf numFmtId="3" fontId="37" fillId="34" borderId="0" xfId="1" applyNumberFormat="1" applyFont="1" applyProtection="1"/>
    <xf numFmtId="0" fontId="32" fillId="36" borderId="0" xfId="48" applyFont="1" applyAlignment="1" applyProtection="1">
      <alignment horizontal="right"/>
    </xf>
    <xf numFmtId="0" fontId="32" fillId="36" borderId="0" xfId="48" applyFont="1" applyAlignment="1" applyProtection="1"/>
    <xf numFmtId="0" fontId="32" fillId="0" borderId="0" xfId="48" applyFont="1" applyFill="1" applyProtection="1"/>
    <xf numFmtId="0" fontId="32" fillId="0" borderId="0" xfId="48" applyFont="1" applyFill="1" applyAlignment="1" applyProtection="1">
      <alignment horizontal="left"/>
    </xf>
    <xf numFmtId="0" fontId="32" fillId="0" borderId="0" xfId="48" applyFont="1" applyFill="1" applyAlignment="1" applyProtection="1">
      <alignment horizontal="right"/>
    </xf>
    <xf numFmtId="0" fontId="32" fillId="0" borderId="0" xfId="49" applyFont="1" applyFill="1" applyAlignment="1" applyProtection="1">
      <alignment horizontal="right"/>
    </xf>
    <xf numFmtId="3" fontId="31" fillId="0" borderId="0" xfId="51" applyNumberFormat="1" applyFont="1" applyFill="1" applyProtection="1">
      <protection locked="0"/>
    </xf>
    <xf numFmtId="0" fontId="31" fillId="0" borderId="0" xfId="50" applyFont="1" applyFill="1" applyAlignment="1" applyProtection="1">
      <alignment horizontal="center"/>
    </xf>
    <xf numFmtId="0" fontId="31" fillId="0" borderId="0" xfId="50" applyFont="1" applyFill="1" applyAlignment="1" applyProtection="1">
      <alignment horizontal="left"/>
    </xf>
    <xf numFmtId="0" fontId="31" fillId="0" borderId="0" xfId="50" applyFont="1" applyFill="1" applyProtection="1"/>
    <xf numFmtId="3" fontId="31" fillId="0" borderId="0" xfId="51" applyNumberFormat="1" applyFont="1" applyFill="1" applyProtection="1"/>
    <xf numFmtId="0" fontId="32" fillId="0" borderId="0" xfId="49" applyFont="1" applyFill="1" applyBorder="1" applyAlignment="1">
      <alignment horizontal="center"/>
    </xf>
    <xf numFmtId="0" fontId="32" fillId="35" borderId="0" xfId="49" applyFont="1" applyAlignment="1">
      <alignment horizontal="left"/>
    </xf>
    <xf numFmtId="0" fontId="32" fillId="0" borderId="0" xfId="49" applyFont="1" applyFill="1" applyAlignment="1">
      <alignment horizontal="center"/>
    </xf>
  </cellXfs>
  <cellStyles count="55">
    <cellStyle name="20% - Accent1" xfId="25" builtinId="30" hidden="1"/>
    <cellStyle name="20% - Accent2" xfId="29" builtinId="34" hidden="1"/>
    <cellStyle name="20% - Accent3" xfId="33" builtinId="38" hidden="1"/>
    <cellStyle name="20% - Accent4" xfId="37" builtinId="42" hidden="1"/>
    <cellStyle name="20% - Accent5" xfId="41" builtinId="46" hidden="1"/>
    <cellStyle name="20% - Accent6" xfId="45" builtinId="50" hidden="1"/>
    <cellStyle name="40% - Accent1" xfId="26" builtinId="31" hidden="1"/>
    <cellStyle name="40% - Accent2" xfId="30" builtinId="35" hidden="1"/>
    <cellStyle name="40% - Accent3" xfId="34" builtinId="39" hidden="1"/>
    <cellStyle name="40% - Accent4" xfId="38" builtinId="43" hidden="1"/>
    <cellStyle name="40% - Accent5" xfId="42" builtinId="47" hidden="1"/>
    <cellStyle name="40% - Accent6" xfId="46" builtinId="51" hidden="1"/>
    <cellStyle name="60% - Accent1" xfId="27" builtinId="32" hidden="1"/>
    <cellStyle name="60% - Accent2" xfId="31" builtinId="36" hidden="1"/>
    <cellStyle name="60% - Accent3" xfId="35" builtinId="40" hidden="1"/>
    <cellStyle name="60% - Accent4" xfId="39" builtinId="44" hidden="1"/>
    <cellStyle name="60% - Accent5" xfId="43" builtinId="48" hidden="1"/>
    <cellStyle name="60% - Accent6" xfId="47" builtinId="52" hidden="1"/>
    <cellStyle name="Accent1" xfId="24" builtinId="29" hidden="1"/>
    <cellStyle name="Accent2" xfId="28" builtinId="33" hidden="1"/>
    <cellStyle name="Accent3" xfId="32" builtinId="37" hidden="1"/>
    <cellStyle name="Accent4" xfId="36" builtinId="41" hidden="1"/>
    <cellStyle name="Accent5" xfId="40" builtinId="45" hidden="1"/>
    <cellStyle name="Accent6" xfId="44" builtinId="49" hidden="1"/>
    <cellStyle name="Bad" xfId="13" builtinId="27" hidden="1"/>
    <cellStyle name="Calculation" xfId="17" builtinId="22" hidden="1"/>
    <cellStyle name="Calculation Cell" xfId="52" xr:uid="{00000000-0005-0000-0000-00001A000000}"/>
    <cellStyle name="Check Cell" xfId="19" builtinId="23" hidden="1"/>
    <cellStyle name="Comma" xfId="2" builtinId="3" hidden="1"/>
    <cellStyle name="Comma [0]" xfId="3" builtinId="6" hidden="1"/>
    <cellStyle name="Currency" xfId="4" builtinId="4" hidden="1"/>
    <cellStyle name="Currency [0]" xfId="5" builtinId="7" hidden="1"/>
    <cellStyle name="Explanatory Text" xfId="22" builtinId="53" hidden="1"/>
    <cellStyle name="Good" xfId="12" builtinId="26" hidden="1"/>
    <cellStyle name="Header 1" xfId="1" xr:uid="{00000000-0005-0000-0000-000022000000}"/>
    <cellStyle name="Header 2" xfId="48" xr:uid="{00000000-0005-0000-0000-000023000000}"/>
    <cellStyle name="Heading 1" xfId="8" builtinId="16" hidden="1"/>
    <cellStyle name="Heading 2" xfId="9" builtinId="17" hidden="1"/>
    <cellStyle name="Heading 3" xfId="10" builtinId="18" hidden="1"/>
    <cellStyle name="Heading 4" xfId="11" builtinId="19" hidden="1"/>
    <cellStyle name="Input" xfId="15" builtinId="20" hidden="1"/>
    <cellStyle name="Input Cell" xfId="51" xr:uid="{00000000-0005-0000-0000-000029000000}"/>
    <cellStyle name="Linked Cell" xfId="18" builtinId="24" hidden="1"/>
    <cellStyle name="Neutral" xfId="14" builtinId="28" hidden="1"/>
    <cellStyle name="Normal" xfId="0" builtinId="0" customBuiltin="1"/>
    <cellStyle name="Note" xfId="21" builtinId="10" hidden="1"/>
    <cellStyle name="Output" xfId="16" builtinId="21" hidden="1"/>
    <cellStyle name="Output Cell" xfId="54" xr:uid="{00000000-0005-0000-0000-00002F000000}"/>
    <cellStyle name="Parameter Cell" xfId="53" xr:uid="{00000000-0005-0000-0000-000030000000}"/>
    <cellStyle name="Percent" xfId="6" builtinId="5" hidden="1"/>
    <cellStyle name="Table Header" xfId="49" xr:uid="{00000000-0005-0000-0000-000032000000}"/>
    <cellStyle name="Table Row Name" xfId="50" xr:uid="{00000000-0005-0000-0000-000033000000}"/>
    <cellStyle name="Title" xfId="7" builtinId="15" hidden="1"/>
    <cellStyle name="Total" xfId="23" builtinId="25" hidden="1"/>
    <cellStyle name="Warning Text" xfId="20" builtinId="11" hidden="1"/>
  </cellStyles>
  <dxfs count="0"/>
  <tableStyles count="0" defaultTableStyle="TableStyleMedium2" defaultPivotStyle="PivotStyleLight16"/>
  <colors>
    <mruColors>
      <color rgb="FF9ECCA6"/>
      <color rgb="FF9ECFF8"/>
      <color rgb="FF000000"/>
      <color rgb="FF262D33"/>
      <color rgb="FF788FA6"/>
      <color rgb="FF696A6D"/>
      <color rgb="FFF6C1D1"/>
      <color rgb="FFE0D4A4"/>
      <color rgb="FF9EC0DB"/>
      <color rgb="FFD9DA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0D4-410B-A053-7008FC5B1F5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E3E3-40BE-9669-FDFE049C0266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'Chart tables'!$D$12:$R$13</c15:sqref>
                  </c15:fullRef>
                </c:ext>
              </c:extLst>
              <c:f>'Chart tables'!$D$12:$R$13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tables'!$D$15:$R$15</c15:sqref>
                  </c15:fullRef>
                </c:ext>
              </c:extLst>
              <c:f>'Chart tables'!$D$15:$G$15</c:f>
              <c:numCache>
                <c:formatCode>#,##0</c:formatCode>
                <c:ptCount val="4"/>
                <c:pt idx="0">
                  <c:v>191228952.62748557</c:v>
                </c:pt>
                <c:pt idx="1">
                  <c:v>209856460.60739988</c:v>
                </c:pt>
                <c:pt idx="2">
                  <c:v>-80187892.975417718</c:v>
                </c:pt>
                <c:pt idx="3">
                  <c:v>6830587.9820938548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'Chart tables'!$I$15</c15:sqref>
                  <c15:invertIfNegative val="0"/>
                  <c15:bubble3D val="0"/>
                </c15:categoryFilterException>
                <c15:categoryFilterException>
                  <c15:sqref>'Chart tables'!$J$15</c15:sqref>
                  <c15:invertIfNegative val="0"/>
                  <c15:bubble3D val="0"/>
                </c15:categoryFilterException>
                <c15:categoryFilterException>
                  <c15:sqref>'Chart tables'!$K$15</c15:sqref>
                  <c15:invertIfNegative val="0"/>
                  <c15:bubble3D val="0"/>
                </c15:categoryFilterException>
                <c15:categoryFilterException>
                  <c15:sqref>'Chart tables'!$L$15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8-A0D4-410B-A053-7008FC5B1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9031568"/>
        <c:axId val="509029272"/>
      </c:barChart>
      <c:catAx>
        <c:axId val="50903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29272"/>
        <c:crosses val="autoZero"/>
        <c:auto val="1"/>
        <c:lblAlgn val="ctr"/>
        <c:lblOffset val="100"/>
        <c:noMultiLvlLbl val="0"/>
      </c:catAx>
      <c:valAx>
        <c:axId val="509029272"/>
        <c:scaling>
          <c:orientation val="minMax"/>
          <c:max val="30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AU" b="0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3156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rgbClr val="788FA6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'Chart tables'!$B$43</c:f>
              <c:strCache>
                <c:ptCount val="1"/>
                <c:pt idx="0">
                  <c:v>Transmission capex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'Chart tables'!$D$41:$L$42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f>'Chart tables'!$D$43:$G$43</c:f>
              <c:numCache>
                <c:formatCode>#,##0</c:formatCode>
                <c:ptCount val="4"/>
                <c:pt idx="0">
                  <c:v>-192639420.80652434</c:v>
                </c:pt>
                <c:pt idx="1">
                  <c:v>-35192018.204508327</c:v>
                </c:pt>
                <c:pt idx="2">
                  <c:v>-157447402.60201597</c:v>
                </c:pt>
                <c:pt idx="3">
                  <c:v>-50036250.826911874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A68-4BC5-9732-554586E76109}"/>
            </c:ext>
          </c:extLst>
        </c:ser>
        <c:ser>
          <c:idx val="2"/>
          <c:order val="1"/>
          <c:tx>
            <c:strRef>
              <c:f>'Chart tables'!$B$44</c:f>
              <c:strCache>
                <c:ptCount val="1"/>
                <c:pt idx="0">
                  <c:v>Transmission opex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'Chart tables'!$D$41:$L$42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f>'Chart tables'!$D$44:$G$44</c:f>
              <c:numCache>
                <c:formatCode>#,##0</c:formatCode>
                <c:ptCount val="4"/>
                <c:pt idx="0">
                  <c:v>-30359717.258038245</c:v>
                </c:pt>
                <c:pt idx="1">
                  <c:v>-5074964.4631871413</c:v>
                </c:pt>
                <c:pt idx="2">
                  <c:v>-25284752.794851098</c:v>
                </c:pt>
                <c:pt idx="3">
                  <c:v>-6956198.3160466217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A68-4BC5-9732-554586E76109}"/>
            </c:ext>
          </c:extLst>
        </c:ser>
        <c:ser>
          <c:idx val="3"/>
          <c:order val="2"/>
          <c:tx>
            <c:strRef>
              <c:f>'Chart tables'!$B$45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'Chart tables'!$D$41:$L$42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f>'Chart tables'!$D$45:$G$45</c:f>
              <c:numCache>
                <c:formatCode>#,##0</c:formatCode>
                <c:ptCount val="4"/>
                <c:pt idx="0">
                  <c:v>7433268.2461585235</c:v>
                </c:pt>
                <c:pt idx="1">
                  <c:v>-4246374.9892382054</c:v>
                </c:pt>
                <c:pt idx="2">
                  <c:v>23657726.332188129</c:v>
                </c:pt>
                <c:pt idx="3">
                  <c:v>12904865.374737756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A68-4BC5-9732-554586E76109}"/>
            </c:ext>
          </c:extLst>
        </c:ser>
        <c:ser>
          <c:idx val="4"/>
          <c:order val="3"/>
          <c:tx>
            <c:strRef>
              <c:f>'Chart tables'!$B$46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'Chart tables'!$D$41:$L$42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f>'Chart tables'!$D$46:$G$46</c:f>
              <c:numCache>
                <c:formatCode>#,##0</c:formatCode>
                <c:ptCount val="4"/>
                <c:pt idx="0">
                  <c:v>26096271.043130614</c:v>
                </c:pt>
                <c:pt idx="1">
                  <c:v>19941246.721018162</c:v>
                </c:pt>
                <c:pt idx="2">
                  <c:v>-1475020.6571979159</c:v>
                </c:pt>
                <c:pt idx="3">
                  <c:v>-1044279.0362697167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7A68-4BC5-9732-554586E76109}"/>
            </c:ext>
          </c:extLst>
        </c:ser>
        <c:ser>
          <c:idx val="5"/>
          <c:order val="4"/>
          <c:tx>
            <c:strRef>
              <c:f>'Chart tables'!$B$47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'Chart tables'!$D$41:$L$42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f>'Chart tables'!$D$47:$G$47</c:f>
              <c:numCache>
                <c:formatCode>#,##0</c:formatCode>
                <c:ptCount val="4"/>
                <c:pt idx="0">
                  <c:v>63457612.565589324</c:v>
                </c:pt>
                <c:pt idx="1">
                  <c:v>100346748.82231346</c:v>
                </c:pt>
                <c:pt idx="2">
                  <c:v>-22833466.472169761</c:v>
                </c:pt>
                <c:pt idx="3">
                  <c:v>-6824647.3119368963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A68-4BC5-9732-554586E76109}"/>
            </c:ext>
          </c:extLst>
        </c:ser>
        <c:ser>
          <c:idx val="6"/>
          <c:order val="5"/>
          <c:tx>
            <c:strRef>
              <c:f>'Chart tables'!$B$48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'Chart tables'!$D$41:$L$42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f>'Chart tables'!$D$48:$G$48</c:f>
              <c:numCache>
                <c:formatCode>#,##0</c:formatCode>
                <c:ptCount val="4"/>
                <c:pt idx="0">
                  <c:v>4112148.4597841837</c:v>
                </c:pt>
                <c:pt idx="1">
                  <c:v>-173440.54009735951</c:v>
                </c:pt>
                <c:pt idx="2">
                  <c:v>2565677.6858167774</c:v>
                </c:pt>
                <c:pt idx="3">
                  <c:v>1090968.4305802207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A68-4BC5-9732-554586E76109}"/>
            </c:ext>
          </c:extLst>
        </c:ser>
        <c:ser>
          <c:idx val="7"/>
          <c:order val="6"/>
          <c:tx>
            <c:strRef>
              <c:f>'Chart tables'!$B$49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'Chart tables'!$D$41:$L$42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f>'Chart tables'!$D$49:$G$49</c:f>
              <c:numCache>
                <c:formatCode>#,##0</c:formatCode>
                <c:ptCount val="4"/>
                <c:pt idx="0">
                  <c:v>310220748.82365382</c:v>
                </c:pt>
                <c:pt idx="1">
                  <c:v>78304923.639512256</c:v>
                </c:pt>
                <c:pt idx="2">
                  <c:v>157001201.40343547</c:v>
                </c:pt>
                <c:pt idx="3">
                  <c:v>97069083.216886893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7A68-4BC5-9732-554586E76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39453464"/>
        <c:axId val="939452480"/>
      </c:barChart>
      <c:scatterChart>
        <c:scatterStyle val="lineMarker"/>
        <c:varyColors val="0"/>
        <c:ser>
          <c:idx val="8"/>
          <c:order val="7"/>
          <c:tx>
            <c:strRef>
              <c:f>'Chart tables'!$B$50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000000"/>
                </a:solidFill>
              </a:ln>
              <a:effectLst/>
            </c:spPr>
          </c:marker>
          <c:xVal>
            <c:multiLvlStrRef>
              <c:f>'Chart tables'!$D$41:$G$42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xVal>
          <c:yVal>
            <c:numRef>
              <c:f>'Chart tables'!$D$50:$G$50</c:f>
              <c:numCache>
                <c:formatCode>#,##0</c:formatCode>
                <c:ptCount val="4"/>
                <c:pt idx="0">
                  <c:v>188320911.07375383</c:v>
                </c:pt>
                <c:pt idx="1">
                  <c:v>153906120.98581284</c:v>
                </c:pt>
                <c:pt idx="2">
                  <c:v>-23816037.104794383</c:v>
                </c:pt>
                <c:pt idx="3">
                  <c:v>46203541.531039767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7A68-4BC5-9732-554586E76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9453464"/>
        <c:axId val="939452480"/>
      </c:scatterChart>
      <c:catAx>
        <c:axId val="939453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9452480"/>
        <c:crosses val="autoZero"/>
        <c:auto val="1"/>
        <c:lblAlgn val="ctr"/>
        <c:lblOffset val="100"/>
        <c:noMultiLvlLbl val="0"/>
      </c:catAx>
      <c:valAx>
        <c:axId val="939452480"/>
        <c:scaling>
          <c:orientation val="minMax"/>
          <c:max val="6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9453464"/>
        <c:crosses val="autoZero"/>
        <c:crossBetween val="between"/>
        <c:dispUnits>
          <c:builtInUnit val="millions"/>
        </c:dispUnits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'Chart tables'!$B$55:$C$55</c:f>
              <c:strCache>
                <c:ptCount val="2"/>
                <c:pt idx="0">
                  <c:v>Transmission capex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'Chart tables'!$D$53:$L$54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f>'Chart tables'!$D$55:$G$55</c:f>
              <c:numCache>
                <c:formatCode>#,##0</c:formatCode>
                <c:ptCount val="4"/>
                <c:pt idx="0">
                  <c:v>-192639420.80652434</c:v>
                </c:pt>
                <c:pt idx="1">
                  <c:v>-35192018.204508327</c:v>
                </c:pt>
                <c:pt idx="2">
                  <c:v>-157447402.60201597</c:v>
                </c:pt>
                <c:pt idx="3">
                  <c:v>-50036250.826911874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54-4AB4-9196-71306D8512EC}"/>
            </c:ext>
          </c:extLst>
        </c:ser>
        <c:ser>
          <c:idx val="2"/>
          <c:order val="1"/>
          <c:tx>
            <c:strRef>
              <c:f>'Chart tables'!$B$56:$C$56</c:f>
              <c:strCache>
                <c:ptCount val="2"/>
                <c:pt idx="0">
                  <c:v>Transmission opex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'Chart tables'!$D$53:$L$54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f>'Chart tables'!$D$56:$G$56</c:f>
              <c:numCache>
                <c:formatCode>#,##0</c:formatCode>
                <c:ptCount val="4"/>
                <c:pt idx="0">
                  <c:v>-30359717.258038245</c:v>
                </c:pt>
                <c:pt idx="1">
                  <c:v>-5074964.4631871413</c:v>
                </c:pt>
                <c:pt idx="2">
                  <c:v>-25284752.794851098</c:v>
                </c:pt>
                <c:pt idx="3">
                  <c:v>-6956198.3160466217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154-4AB4-9196-71306D8512EC}"/>
            </c:ext>
          </c:extLst>
        </c:ser>
        <c:ser>
          <c:idx val="3"/>
          <c:order val="2"/>
          <c:tx>
            <c:strRef>
              <c:f>'Chart tables'!$B$57:$C$57</c:f>
              <c:strCache>
                <c:ptCount val="2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'Chart tables'!$D$53:$L$54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f>'Chart tables'!$D$57:$G$57</c:f>
              <c:numCache>
                <c:formatCode>#,##0</c:formatCode>
                <c:ptCount val="4"/>
                <c:pt idx="0">
                  <c:v>7923449.8414313737</c:v>
                </c:pt>
                <c:pt idx="1">
                  <c:v>-12497995.800964646</c:v>
                </c:pt>
                <c:pt idx="2">
                  <c:v>16598834.347489329</c:v>
                </c:pt>
                <c:pt idx="3">
                  <c:v>5110158.0920185484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154-4AB4-9196-71306D8512EC}"/>
            </c:ext>
          </c:extLst>
        </c:ser>
        <c:ser>
          <c:idx val="4"/>
          <c:order val="3"/>
          <c:tx>
            <c:strRef>
              <c:f>'Chart tables'!$B$58:$C$58</c:f>
              <c:strCache>
                <c:ptCount val="2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'Chart tables'!$D$53:$L$54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f>'Chart tables'!$D$58:$G$58</c:f>
              <c:numCache>
                <c:formatCode>#,##0</c:formatCode>
                <c:ptCount val="4"/>
                <c:pt idx="0">
                  <c:v>39097225.937965624</c:v>
                </c:pt>
                <c:pt idx="1">
                  <c:v>36499951.910058014</c:v>
                </c:pt>
                <c:pt idx="2">
                  <c:v>-10615401.149721107</c:v>
                </c:pt>
                <c:pt idx="3">
                  <c:v>-6306551.6117596216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154-4AB4-9196-71306D8512EC}"/>
            </c:ext>
          </c:extLst>
        </c:ser>
        <c:ser>
          <c:idx val="5"/>
          <c:order val="4"/>
          <c:tx>
            <c:strRef>
              <c:f>'Chart tables'!$B$59:$C$59</c:f>
              <c:strCache>
                <c:ptCount val="2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'Chart tables'!$D$53:$L$54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f>'Chart tables'!$D$59:$G$59</c:f>
              <c:numCache>
                <c:formatCode>#,##0</c:formatCode>
                <c:ptCount val="4"/>
                <c:pt idx="0">
                  <c:v>71277159.292602763</c:v>
                </c:pt>
                <c:pt idx="1">
                  <c:v>55378619.789670087</c:v>
                </c:pt>
                <c:pt idx="2">
                  <c:v>17759977.232122559</c:v>
                </c:pt>
                <c:pt idx="3">
                  <c:v>14910495.221369322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154-4AB4-9196-71306D8512EC}"/>
            </c:ext>
          </c:extLst>
        </c:ser>
        <c:ser>
          <c:idx val="6"/>
          <c:order val="5"/>
          <c:tx>
            <c:strRef>
              <c:f>'Chart tables'!$B$60:$C$60</c:f>
              <c:strCache>
                <c:ptCount val="2"/>
                <c:pt idx="0">
                  <c:v>Avoided voluntary load curtailment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'Chart tables'!$D$53:$L$54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f>'Chart tables'!$D$60:$G$60</c:f>
              <c:numCache>
                <c:formatCode>#,##0</c:formatCode>
                <c:ptCount val="4"/>
                <c:pt idx="0">
                  <c:v>32177867.027494472</c:v>
                </c:pt>
                <c:pt idx="1">
                  <c:v>21139245.279566906</c:v>
                </c:pt>
                <c:pt idx="2">
                  <c:v>6979162.2946051387</c:v>
                </c:pt>
                <c:pt idx="3">
                  <c:v>1658574.4479903865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154-4AB4-9196-71306D8512EC}"/>
            </c:ext>
          </c:extLst>
        </c:ser>
        <c:ser>
          <c:idx val="7"/>
          <c:order val="6"/>
          <c:tx>
            <c:strRef>
              <c:f>'Chart tables'!$B$61:$C$61</c:f>
              <c:strCache>
                <c:ptCount val="2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'Chart tables'!$D$53:$L$54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f>'Chart tables'!$D$61:$G$61</c:f>
              <c:numCache>
                <c:formatCode>#,##0</c:formatCode>
                <c:ptCount val="4"/>
                <c:pt idx="0">
                  <c:v>263752388.59255403</c:v>
                </c:pt>
                <c:pt idx="1">
                  <c:v>149603622.09676498</c:v>
                </c:pt>
                <c:pt idx="2">
                  <c:v>71821689.696953431</c:v>
                </c:pt>
                <c:pt idx="3">
                  <c:v>48450360.975433685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154-4AB4-9196-71306D851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39453464"/>
        <c:axId val="939452480"/>
      </c:barChart>
      <c:scatterChart>
        <c:scatterStyle val="lineMarker"/>
        <c:varyColors val="0"/>
        <c:ser>
          <c:idx val="8"/>
          <c:order val="7"/>
          <c:tx>
            <c:strRef>
              <c:f>'Chart tables'!$B$62:$C$62</c:f>
              <c:strCache>
                <c:ptCount val="2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000000"/>
                </a:solidFill>
              </a:ln>
              <a:effectLst/>
            </c:spPr>
          </c:marker>
          <c:xVal>
            <c:multiLvlStrRef>
              <c:f>'Chart tables'!$D$53:$G$54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xVal>
          <c:yVal>
            <c:numRef>
              <c:f>'Chart tables'!$D$62:$G$62</c:f>
              <c:numCache>
                <c:formatCode>#,##0</c:formatCode>
                <c:ptCount val="4"/>
                <c:pt idx="0">
                  <c:v>191228952.62748569</c:v>
                </c:pt>
                <c:pt idx="1">
                  <c:v>209856460.60739988</c:v>
                </c:pt>
                <c:pt idx="2">
                  <c:v>-80187892.975417718</c:v>
                </c:pt>
                <c:pt idx="3">
                  <c:v>6830587.9820938334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7154-4AB4-9196-71306D851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9453464"/>
        <c:axId val="939452480"/>
      </c:scatterChart>
      <c:catAx>
        <c:axId val="939453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9452480"/>
        <c:crosses val="autoZero"/>
        <c:auto val="1"/>
        <c:lblAlgn val="ctr"/>
        <c:lblOffset val="100"/>
        <c:noMultiLvlLbl val="0"/>
      </c:catAx>
      <c:valAx>
        <c:axId val="939452480"/>
        <c:scaling>
          <c:orientation val="minMax"/>
          <c:max val="6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9453464"/>
        <c:crosses val="autoZero"/>
        <c:crossBetween val="between"/>
        <c:dispUnits>
          <c:builtInUnit val="millions"/>
        </c:dispUnits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'Chart tables'!$B$67:$C$67</c:f>
              <c:strCache>
                <c:ptCount val="2"/>
                <c:pt idx="0">
                  <c:v>Transmission capex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'Chart tables'!$D$65:$L$66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f>'Chart tables'!$D$67:$G$67</c:f>
              <c:numCache>
                <c:formatCode>#,##0</c:formatCode>
                <c:ptCount val="4"/>
                <c:pt idx="0">
                  <c:v>-192639420.80652434</c:v>
                </c:pt>
                <c:pt idx="1">
                  <c:v>-35192018.204508327</c:v>
                </c:pt>
                <c:pt idx="2">
                  <c:v>-157447402.60201597</c:v>
                </c:pt>
                <c:pt idx="3">
                  <c:v>-50036250.826911874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A00-4EAB-AD8C-D0050A610A79}"/>
            </c:ext>
          </c:extLst>
        </c:ser>
        <c:ser>
          <c:idx val="2"/>
          <c:order val="1"/>
          <c:tx>
            <c:strRef>
              <c:f>'Chart tables'!$B$68:$C$68</c:f>
              <c:strCache>
                <c:ptCount val="2"/>
                <c:pt idx="0">
                  <c:v>Transmission opex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'Chart tables'!$D$65:$L$66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f>'Chart tables'!$D$68:$G$68</c:f>
              <c:numCache>
                <c:formatCode>#,##0</c:formatCode>
                <c:ptCount val="4"/>
                <c:pt idx="0">
                  <c:v>-30359717.258038245</c:v>
                </c:pt>
                <c:pt idx="1">
                  <c:v>-5074964.4631871413</c:v>
                </c:pt>
                <c:pt idx="2">
                  <c:v>-25284752.794851098</c:v>
                </c:pt>
                <c:pt idx="3">
                  <c:v>-6956198.3160466217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A00-4EAB-AD8C-D0050A610A79}"/>
            </c:ext>
          </c:extLst>
        </c:ser>
        <c:ser>
          <c:idx val="3"/>
          <c:order val="2"/>
          <c:tx>
            <c:strRef>
              <c:f>'Chart tables'!$B$69:$C$69</c:f>
              <c:strCache>
                <c:ptCount val="2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'Chart tables'!$D$65:$L$66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f>'Chart tables'!$D$69:$G$69</c:f>
              <c:numCache>
                <c:formatCode>#,##0</c:formatCode>
                <c:ptCount val="4"/>
                <c:pt idx="0">
                  <c:v>6776426.0058996119</c:v>
                </c:pt>
                <c:pt idx="1">
                  <c:v>1216215.1144045515</c:v>
                </c:pt>
                <c:pt idx="2">
                  <c:v>4650599.5077566141</c:v>
                </c:pt>
                <c:pt idx="3">
                  <c:v>1525.5359087470665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A00-4EAB-AD8C-D0050A610A79}"/>
            </c:ext>
          </c:extLst>
        </c:ser>
        <c:ser>
          <c:idx val="4"/>
          <c:order val="3"/>
          <c:tx>
            <c:strRef>
              <c:f>'Chart tables'!$B$70:$C$70</c:f>
              <c:strCache>
                <c:ptCount val="2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'Chart tables'!$D$65:$L$66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f>'Chart tables'!$D$70:$G$70</c:f>
              <c:numCache>
                <c:formatCode>#,##0</c:formatCode>
                <c:ptCount val="4"/>
                <c:pt idx="0">
                  <c:v>9312442.8615150265</c:v>
                </c:pt>
                <c:pt idx="1">
                  <c:v>2902103.0336725041</c:v>
                </c:pt>
                <c:pt idx="2">
                  <c:v>853687.53357999504</c:v>
                </c:pt>
                <c:pt idx="3">
                  <c:v>697356.3366772671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A00-4EAB-AD8C-D0050A610A79}"/>
            </c:ext>
          </c:extLst>
        </c:ser>
        <c:ser>
          <c:idx val="5"/>
          <c:order val="4"/>
          <c:tx>
            <c:strRef>
              <c:f>'Chart tables'!$B$71:$C$71</c:f>
              <c:strCache>
                <c:ptCount val="2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'Chart tables'!$D$65:$L$66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f>'Chart tables'!$D$71:$G$71</c:f>
              <c:numCache>
                <c:formatCode>#,##0</c:formatCode>
                <c:ptCount val="4"/>
                <c:pt idx="0">
                  <c:v>58799352.849063903</c:v>
                </c:pt>
                <c:pt idx="1">
                  <c:v>96441769.403781801</c:v>
                </c:pt>
                <c:pt idx="2">
                  <c:v>-41021351.455087334</c:v>
                </c:pt>
                <c:pt idx="3">
                  <c:v>-27396666.928928148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A00-4EAB-AD8C-D0050A610A79}"/>
            </c:ext>
          </c:extLst>
        </c:ser>
        <c:ser>
          <c:idx val="6"/>
          <c:order val="5"/>
          <c:tx>
            <c:strRef>
              <c:f>'Chart tables'!$B$72:$C$72</c:f>
              <c:strCache>
                <c:ptCount val="2"/>
                <c:pt idx="0">
                  <c:v>Avoided voluntary load curtailment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'Chart tables'!$D$65:$L$66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f>'Chart tables'!$D$72:$G$72</c:f>
              <c:numCache>
                <c:formatCode>#,##0</c:formatCode>
                <c:ptCount val="4"/>
                <c:pt idx="0">
                  <c:v>-367204.03395151329</c:v>
                </c:pt>
                <c:pt idx="1">
                  <c:v>-449183.73239945289</c:v>
                </c:pt>
                <c:pt idx="2">
                  <c:v>230603.04267177227</c:v>
                </c:pt>
                <c:pt idx="3">
                  <c:v>-205072.57169838468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A00-4EAB-AD8C-D0050A610A79}"/>
            </c:ext>
          </c:extLst>
        </c:ser>
        <c:ser>
          <c:idx val="7"/>
          <c:order val="6"/>
          <c:tx>
            <c:strRef>
              <c:f>'Chart tables'!$B$73:$C$73</c:f>
              <c:strCache>
                <c:ptCount val="2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'Chart tables'!$D$65:$L$66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f>'Chart tables'!$D$73:$G$73</c:f>
              <c:numCache>
                <c:formatCode>#,##0</c:formatCode>
                <c:ptCount val="4"/>
                <c:pt idx="0">
                  <c:v>185881488.94470039</c:v>
                </c:pt>
                <c:pt idx="1">
                  <c:v>-23349245.032512873</c:v>
                </c:pt>
                <c:pt idx="2">
                  <c:v>208258641.31712979</c:v>
                </c:pt>
                <c:pt idx="3">
                  <c:v>151440580.01212847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0A00-4EAB-AD8C-D0050A610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39453464"/>
        <c:axId val="939452480"/>
      </c:barChart>
      <c:scatterChart>
        <c:scatterStyle val="lineMarker"/>
        <c:varyColors val="0"/>
        <c:ser>
          <c:idx val="8"/>
          <c:order val="7"/>
          <c:tx>
            <c:strRef>
              <c:f>'Chart tables'!$B$74:$C$74</c:f>
              <c:strCache>
                <c:ptCount val="2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000000"/>
                </a:solidFill>
              </a:ln>
              <a:effectLst/>
            </c:spPr>
          </c:marker>
          <c:xVal>
            <c:multiLvlStrRef>
              <c:f>'Chart tables'!$D$65:$G$66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xVal>
          <c:yVal>
            <c:numRef>
              <c:f>'Chart tables'!$D$74:$G$74</c:f>
              <c:numCache>
                <c:formatCode>#,##0</c:formatCode>
                <c:ptCount val="4"/>
                <c:pt idx="0">
                  <c:v>37403368.562664807</c:v>
                </c:pt>
                <c:pt idx="1">
                  <c:v>36494676.119251058</c:v>
                </c:pt>
                <c:pt idx="2">
                  <c:v>-9759975.4508162141</c:v>
                </c:pt>
                <c:pt idx="3">
                  <c:v>67545273.241129458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0A00-4EAB-AD8C-D0050A610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9453464"/>
        <c:axId val="939452480"/>
      </c:scatterChart>
      <c:catAx>
        <c:axId val="939453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9452480"/>
        <c:crosses val="autoZero"/>
        <c:auto val="1"/>
        <c:lblAlgn val="ctr"/>
        <c:lblOffset val="100"/>
        <c:noMultiLvlLbl val="0"/>
      </c:catAx>
      <c:valAx>
        <c:axId val="939452480"/>
        <c:scaling>
          <c:orientation val="minMax"/>
          <c:max val="6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9453464"/>
        <c:crosses val="autoZero"/>
        <c:crossBetween val="between"/>
        <c:dispUnits>
          <c:builtInUnit val="millions"/>
        </c:dispUnits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'Chart tables'!$B$79:$C$79</c:f>
              <c:strCache>
                <c:ptCount val="2"/>
                <c:pt idx="0">
                  <c:v>Transmission capex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'Chart tables'!$D$77:$L$78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f>'Chart tables'!$D$79:$G$79</c:f>
              <c:numCache>
                <c:formatCode>#,##0</c:formatCode>
                <c:ptCount val="4"/>
                <c:pt idx="0">
                  <c:v>-192639420.80652434</c:v>
                </c:pt>
                <c:pt idx="1">
                  <c:v>-35192018.204508327</c:v>
                </c:pt>
                <c:pt idx="2">
                  <c:v>-157447402.60201597</c:v>
                </c:pt>
                <c:pt idx="3">
                  <c:v>-50036250.826911874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1-4407-8479-8878B5656FF1}"/>
            </c:ext>
          </c:extLst>
        </c:ser>
        <c:ser>
          <c:idx val="2"/>
          <c:order val="1"/>
          <c:tx>
            <c:strRef>
              <c:f>'Chart tables'!$B$80:$C$80</c:f>
              <c:strCache>
                <c:ptCount val="2"/>
                <c:pt idx="0">
                  <c:v>Transmission opex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'Chart tables'!$D$77:$L$78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f>'Chart tables'!$D$80:$G$80</c:f>
              <c:numCache>
                <c:formatCode>#,##0</c:formatCode>
                <c:ptCount val="4"/>
                <c:pt idx="0">
                  <c:v>-30359717.258038245</c:v>
                </c:pt>
                <c:pt idx="1">
                  <c:v>-5074964.4631871413</c:v>
                </c:pt>
                <c:pt idx="2">
                  <c:v>-25284752.794851098</c:v>
                </c:pt>
                <c:pt idx="3">
                  <c:v>-6956198.3160466217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E1-4407-8479-8878B5656FF1}"/>
            </c:ext>
          </c:extLst>
        </c:ser>
        <c:ser>
          <c:idx val="3"/>
          <c:order val="2"/>
          <c:tx>
            <c:strRef>
              <c:f>'Chart tables'!$B$81:$C$81</c:f>
              <c:strCache>
                <c:ptCount val="2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'Chart tables'!$D$77:$L$78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f>'Chart tables'!$D$81:$G$81</c:f>
              <c:numCache>
                <c:formatCode>#,##0</c:formatCode>
                <c:ptCount val="4"/>
                <c:pt idx="0">
                  <c:v>-34841473.275589138</c:v>
                </c:pt>
                <c:pt idx="1">
                  <c:v>-20968410.452113144</c:v>
                </c:pt>
                <c:pt idx="2">
                  <c:v>-9458920.0540778246</c:v>
                </c:pt>
                <c:pt idx="3">
                  <c:v>-7266519.3097975766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DE1-4407-8479-8878B5656FF1}"/>
            </c:ext>
          </c:extLst>
        </c:ser>
        <c:ser>
          <c:idx val="4"/>
          <c:order val="3"/>
          <c:tx>
            <c:strRef>
              <c:f>'Chart tables'!$B$82:$C$82</c:f>
              <c:strCache>
                <c:ptCount val="2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'Chart tables'!$D$77:$L$78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f>'Chart tables'!$D$82:$G$82</c:f>
              <c:numCache>
                <c:formatCode>#,##0</c:formatCode>
                <c:ptCount val="4"/>
                <c:pt idx="0">
                  <c:v>39482133.726651855</c:v>
                </c:pt>
                <c:pt idx="1">
                  <c:v>34763804.861335568</c:v>
                </c:pt>
                <c:pt idx="2">
                  <c:v>-9094246.9011167642</c:v>
                </c:pt>
                <c:pt idx="3">
                  <c:v>-4777975.9183316585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DE1-4407-8479-8878B5656FF1}"/>
            </c:ext>
          </c:extLst>
        </c:ser>
        <c:ser>
          <c:idx val="5"/>
          <c:order val="4"/>
          <c:tx>
            <c:strRef>
              <c:f>'Chart tables'!$B$83:$C$83</c:f>
              <c:strCache>
                <c:ptCount val="2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'Chart tables'!$D$77:$L$78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f>'Chart tables'!$D$83:$G$83</c:f>
              <c:numCache>
                <c:formatCode>#,##0</c:formatCode>
                <c:ptCount val="4"/>
                <c:pt idx="0">
                  <c:v>114642151.1037425</c:v>
                </c:pt>
                <c:pt idx="1">
                  <c:v>118440990.70081118</c:v>
                </c:pt>
                <c:pt idx="2">
                  <c:v>-13188803.204059219</c:v>
                </c:pt>
                <c:pt idx="3">
                  <c:v>-5365364.503858746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DE1-4407-8479-8878B5656FF1}"/>
            </c:ext>
          </c:extLst>
        </c:ser>
        <c:ser>
          <c:idx val="6"/>
          <c:order val="5"/>
          <c:tx>
            <c:strRef>
              <c:f>'Chart tables'!$B$84:$C$84</c:f>
              <c:strCache>
                <c:ptCount val="2"/>
                <c:pt idx="0">
                  <c:v>Avoided voluntary load curtailment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'Chart tables'!$D$77:$L$78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f>'Chart tables'!$D$84:$G$84</c:f>
              <c:numCache>
                <c:formatCode>#,##0</c:formatCode>
                <c:ptCount val="4"/>
                <c:pt idx="0">
                  <c:v>-1071709.5504431652</c:v>
                </c:pt>
                <c:pt idx="1">
                  <c:v>1454120.8038329892</c:v>
                </c:pt>
                <c:pt idx="2">
                  <c:v>-2040505.1635431892</c:v>
                </c:pt>
                <c:pt idx="3">
                  <c:v>369842.78426902177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DE1-4407-8479-8878B5656FF1}"/>
            </c:ext>
          </c:extLst>
        </c:ser>
        <c:ser>
          <c:idx val="7"/>
          <c:order val="6"/>
          <c:tx>
            <c:strRef>
              <c:f>'Chart tables'!$B$85:$C$85</c:f>
              <c:strCache>
                <c:ptCount val="2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'Chart tables'!$D$77:$L$78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f>'Chart tables'!$D$85:$G$85</c:f>
              <c:numCache>
                <c:formatCode>#,##0</c:formatCode>
                <c:ptCount val="4"/>
                <c:pt idx="0">
                  <c:v>371174217.61330879</c:v>
                </c:pt>
                <c:pt idx="1">
                  <c:v>174361797.92697933</c:v>
                </c:pt>
                <c:pt idx="2">
                  <c:v>155290544.84731123</c:v>
                </c:pt>
                <c:pt idx="3">
                  <c:v>89342290.687302932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DE1-4407-8479-8878B5656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39453464"/>
        <c:axId val="939452480"/>
      </c:barChart>
      <c:scatterChart>
        <c:scatterStyle val="lineMarker"/>
        <c:varyColors val="0"/>
        <c:ser>
          <c:idx val="8"/>
          <c:order val="7"/>
          <c:tx>
            <c:strRef>
              <c:f>'Chart tables'!$B$86:$C$86</c:f>
              <c:strCache>
                <c:ptCount val="2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000000"/>
                </a:solidFill>
              </a:ln>
              <a:effectLst/>
            </c:spPr>
          </c:marker>
          <c:xVal>
            <c:multiLvlStrRef>
              <c:f>'Chart tables'!$D$77:$G$78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xVal>
          <c:yVal>
            <c:numRef>
              <c:f>'Chart tables'!$D$86:$G$86</c:f>
              <c:numCache>
                <c:formatCode>#,##0</c:formatCode>
                <c:ptCount val="4"/>
                <c:pt idx="0">
                  <c:v>266386181.55310822</c:v>
                </c:pt>
                <c:pt idx="1">
                  <c:v>267785321.17315048</c:v>
                </c:pt>
                <c:pt idx="2">
                  <c:v>-61224085.872352839</c:v>
                </c:pt>
                <c:pt idx="3">
                  <c:v>15309824.596625477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DE1-4407-8479-8878B5656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9453464"/>
        <c:axId val="939452480"/>
      </c:scatterChart>
      <c:catAx>
        <c:axId val="939453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9452480"/>
        <c:crosses val="autoZero"/>
        <c:auto val="1"/>
        <c:lblAlgn val="ctr"/>
        <c:lblOffset val="100"/>
        <c:noMultiLvlLbl val="0"/>
      </c:catAx>
      <c:valAx>
        <c:axId val="93945248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9453464"/>
        <c:crosses val="autoZero"/>
        <c:crossBetween val="between"/>
        <c:dispUnits>
          <c:builtInUnit val="millions"/>
        </c:dispUnits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b="0"/>
              <a:t>Neutral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8ED5-4B24-B57E-6C95405B12E9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'Chart tables'!$D$12:$R$13</c15:sqref>
                  </c15:fullRef>
                </c:ext>
              </c:extLst>
              <c:f>'Chart tables'!$D$12:$R$13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tables'!$D$14:$R$14</c15:sqref>
                  </c15:fullRef>
                </c:ext>
              </c:extLst>
              <c:f>'Chart tables'!$D$14:$G$14</c:f>
              <c:numCache>
                <c:formatCode>#,##0</c:formatCode>
                <c:ptCount val="4"/>
                <c:pt idx="0">
                  <c:v>188320911.07375386</c:v>
                </c:pt>
                <c:pt idx="1">
                  <c:v>153906120.98581284</c:v>
                </c:pt>
                <c:pt idx="2">
                  <c:v>-23816037.104794379</c:v>
                </c:pt>
                <c:pt idx="3">
                  <c:v>46203541.531039797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'Chart tables'!$I$14</c15:sqref>
                  <c15:invertIfNegative val="0"/>
                  <c15:bubble3D val="0"/>
                </c15:categoryFilterException>
                <c15:categoryFilterException>
                  <c15:sqref>'Chart tables'!$J$14</c15:sqref>
                  <c15:invertIfNegative val="0"/>
                  <c15:bubble3D val="0"/>
                </c15:categoryFilterException>
                <c15:categoryFilterException>
                  <c15:sqref>'Chart tables'!$K$14</c15:sqref>
                  <c15:invertIfNegative val="0"/>
                  <c15:bubble3D val="0"/>
                </c15:categoryFilterException>
                <c15:categoryFilterException>
                  <c15:sqref>'Chart tables'!$L$14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6-8ED5-4B24-B57E-6C95405B1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9031568"/>
        <c:axId val="509029272"/>
      </c:barChart>
      <c:catAx>
        <c:axId val="50903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29272"/>
        <c:crosses val="autoZero"/>
        <c:auto val="1"/>
        <c:lblAlgn val="ctr"/>
        <c:lblOffset val="100"/>
        <c:noMultiLvlLbl val="0"/>
      </c:catAx>
      <c:valAx>
        <c:axId val="509029272"/>
        <c:scaling>
          <c:orientation val="minMax"/>
          <c:max val="30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AU" b="0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3156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rgbClr val="788FA6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b="0"/>
              <a:t>Slow change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F6E-499B-A646-30B94197803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F6E-499B-A646-30B94197803A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'Chart tables'!$D$12:$R$13</c15:sqref>
                  </c15:fullRef>
                </c:ext>
              </c:extLst>
              <c:f>'Chart tables'!$D$12:$R$13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tables'!$D$16:$R$16</c15:sqref>
                  </c15:fullRef>
                </c:ext>
              </c:extLst>
              <c:f>'Chart tables'!$D$16:$G$16</c:f>
              <c:numCache>
                <c:formatCode>#,##0</c:formatCode>
                <c:ptCount val="4"/>
                <c:pt idx="0">
                  <c:v>37403368.562664844</c:v>
                </c:pt>
                <c:pt idx="1">
                  <c:v>36494676.119251065</c:v>
                </c:pt>
                <c:pt idx="2">
                  <c:v>-9759975.4508163556</c:v>
                </c:pt>
                <c:pt idx="3">
                  <c:v>67545273.241129458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'Chart tables'!$I$16</c15:sqref>
                  <c15:invertIfNegative val="0"/>
                  <c15:bubble3D val="0"/>
                </c15:categoryFilterException>
                <c15:categoryFilterException>
                  <c15:sqref>'Chart tables'!$J$16</c15:sqref>
                  <c15:invertIfNegative val="0"/>
                  <c15:bubble3D val="0"/>
                </c15:categoryFilterException>
                <c15:categoryFilterException>
                  <c15:sqref>'Chart tables'!$K$16</c15:sqref>
                  <c15:invertIfNegative val="0"/>
                  <c15:bubble3D val="0"/>
                </c15:categoryFilterException>
                <c15:categoryFilterException>
                  <c15:sqref>'Chart tables'!$L$16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3-7F6E-499B-A646-30B941978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9031568"/>
        <c:axId val="509029272"/>
      </c:barChart>
      <c:catAx>
        <c:axId val="50903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29272"/>
        <c:crosses val="autoZero"/>
        <c:auto val="1"/>
        <c:lblAlgn val="ctr"/>
        <c:lblOffset val="100"/>
        <c:noMultiLvlLbl val="0"/>
      </c:catAx>
      <c:valAx>
        <c:axId val="509029272"/>
        <c:scaling>
          <c:orientation val="minMax"/>
          <c:max val="300000000"/>
          <c:min val="-10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AU" b="0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3156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rgbClr val="788FA6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b="0"/>
              <a:t>Fast change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32-4606-9584-15555E1A6DE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932-4606-9584-15555E1A6DE8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'Chart tables'!$D$12:$R$13</c15:sqref>
                  </c15:fullRef>
                </c:ext>
              </c:extLst>
              <c:f>'Chart tables'!$D$12:$R$13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tables'!$D$17:$R$17</c15:sqref>
                  </c15:fullRef>
                </c:ext>
              </c:extLst>
              <c:f>'Chart tables'!$D$17:$G$17</c:f>
              <c:numCache>
                <c:formatCode>#,##0</c:formatCode>
                <c:ptCount val="4"/>
                <c:pt idx="0">
                  <c:v>266386181.55310804</c:v>
                </c:pt>
                <c:pt idx="1">
                  <c:v>267785321.17315042</c:v>
                </c:pt>
                <c:pt idx="2">
                  <c:v>-61224085.872352861</c:v>
                </c:pt>
                <c:pt idx="3">
                  <c:v>15309824.596625466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'Chart tables'!$J$17</c15:sqref>
                  <c15:invertIfNegative val="0"/>
                  <c15:bubble3D val="0"/>
                </c15:categoryFilterException>
                <c15:categoryFilterException>
                  <c15:sqref>'Chart tables'!$K$17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'Chart tables'!$L$17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'Chart tables'!$M$17</c15:sqref>
                  <c15:spPr xmlns:c15="http://schemas.microsoft.com/office/drawing/2012/chart">
                    <a:solidFill>
                      <a:schemeClr val="tx2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4-6932-4606-9584-15555E1A6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9031568"/>
        <c:axId val="509029272"/>
      </c:barChart>
      <c:catAx>
        <c:axId val="50903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29272"/>
        <c:crosses val="autoZero"/>
        <c:auto val="1"/>
        <c:lblAlgn val="ctr"/>
        <c:lblOffset val="100"/>
        <c:noMultiLvlLbl val="0"/>
      </c:catAx>
      <c:valAx>
        <c:axId val="50902927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 b="0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3156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rgbClr val="788FA6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b="0"/>
              <a:t>Neutral + low emissions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C19-4C91-A2A2-0BFE26660C8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CC19-4C91-A2A2-0BFE26660C83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'Chart tables'!$D$12:$R$13</c15:sqref>
                  </c15:fullRef>
                </c:ext>
              </c:extLst>
              <c:f>'Chart tables'!$D$12:$R$13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tables'!$D$15:$R$15</c15:sqref>
                  </c15:fullRef>
                </c:ext>
              </c:extLst>
              <c:f>'Chart tables'!$D$15:$G$15</c:f>
              <c:numCache>
                <c:formatCode>#,##0</c:formatCode>
                <c:ptCount val="4"/>
                <c:pt idx="0">
                  <c:v>191228952.62748557</c:v>
                </c:pt>
                <c:pt idx="1">
                  <c:v>209856460.60739988</c:v>
                </c:pt>
                <c:pt idx="2">
                  <c:v>-80187892.975417718</c:v>
                </c:pt>
                <c:pt idx="3">
                  <c:v>6830587.9820938548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'Chart tables'!$I$15</c15:sqref>
                  <c15:invertIfNegative val="0"/>
                  <c15:bubble3D val="0"/>
                </c15:categoryFilterException>
                <c15:categoryFilterException>
                  <c15:sqref>'Chart tables'!$J$15</c15:sqref>
                  <c15:invertIfNegative val="0"/>
                  <c15:bubble3D val="0"/>
                </c15:categoryFilterException>
                <c15:categoryFilterException>
                  <c15:sqref>'Chart tables'!$K$15</c15:sqref>
                  <c15:invertIfNegative val="0"/>
                  <c15:bubble3D val="0"/>
                </c15:categoryFilterException>
                <c15:categoryFilterException>
                  <c15:sqref>'Chart tables'!$L$15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3-CC19-4C91-A2A2-0BFE26660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9031568"/>
        <c:axId val="509029272"/>
      </c:barChart>
      <c:catAx>
        <c:axId val="50903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29272"/>
        <c:crosses val="autoZero"/>
        <c:auto val="1"/>
        <c:lblAlgn val="ctr"/>
        <c:lblOffset val="100"/>
        <c:noMultiLvlLbl val="0"/>
      </c:catAx>
      <c:valAx>
        <c:axId val="509029272"/>
        <c:scaling>
          <c:orientation val="minMax"/>
          <c:max val="300000000"/>
          <c:min val="-10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AU" b="0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3156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rgbClr val="788FA6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A-4291-8D5E-6BE28A77447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632-42E0-97A7-FE3BD521FC46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'Chart tables'!$D$12:$R$13</c15:sqref>
                  </c15:fullRef>
                </c:ext>
              </c:extLst>
              <c:f>'Chart tables'!$D$12:$R$13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tables'!$D$16:$R$16</c15:sqref>
                  </c15:fullRef>
                </c:ext>
              </c:extLst>
              <c:f>'Chart tables'!$D$16:$G$16</c:f>
              <c:numCache>
                <c:formatCode>#,##0</c:formatCode>
                <c:ptCount val="4"/>
                <c:pt idx="0">
                  <c:v>37403368.562664844</c:v>
                </c:pt>
                <c:pt idx="1">
                  <c:v>36494676.119251065</c:v>
                </c:pt>
                <c:pt idx="2">
                  <c:v>-9759975.4508163556</c:v>
                </c:pt>
                <c:pt idx="3">
                  <c:v>67545273.241129458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'Chart tables'!$I$16</c15:sqref>
                  <c15:invertIfNegative val="0"/>
                  <c15:bubble3D val="0"/>
                </c15:categoryFilterException>
                <c15:categoryFilterException>
                  <c15:sqref>'Chart tables'!$J$16</c15:sqref>
                  <c15:invertIfNegative val="0"/>
                  <c15:bubble3D val="0"/>
                </c15:categoryFilterException>
                <c15:categoryFilterException>
                  <c15:sqref>'Chart tables'!$K$16</c15:sqref>
                  <c15:invertIfNegative val="0"/>
                  <c15:bubble3D val="0"/>
                </c15:categoryFilterException>
                <c15:categoryFilterException>
                  <c15:sqref>'Chart tables'!$L$16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7-029A-4291-8D5E-6BE28A774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9031568"/>
        <c:axId val="509029272"/>
      </c:barChart>
      <c:catAx>
        <c:axId val="50903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29272"/>
        <c:crosses val="autoZero"/>
        <c:auto val="1"/>
        <c:lblAlgn val="ctr"/>
        <c:lblOffset val="100"/>
        <c:noMultiLvlLbl val="0"/>
      </c:catAx>
      <c:valAx>
        <c:axId val="509029272"/>
        <c:scaling>
          <c:orientation val="minMax"/>
          <c:max val="300000000"/>
          <c:min val="-10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3156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rgbClr val="788FA6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D2-4B2E-AF8C-DB8FD0F4AEB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6CD-4B03-8036-9EAD7CE23E97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'Chart tables'!$D$12:$T$13</c15:sqref>
                  </c15:fullRef>
                </c:ext>
              </c:extLst>
              <c:f>'Chart tables'!$D$12:$T$13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tables'!$D$18:$T$18</c15:sqref>
                  </c15:fullRef>
                </c:ext>
              </c:extLst>
              <c:f>'Chart tables'!$D$18:$G$18</c:f>
              <c:numCache>
                <c:formatCode>#,##0</c:formatCode>
                <c:ptCount val="4"/>
                <c:pt idx="0">
                  <c:v>170834853.45425308</c:v>
                </c:pt>
                <c:pt idx="1">
                  <c:v>167010644.72140354</c:v>
                </c:pt>
                <c:pt idx="2">
                  <c:v>-43746997.850845329</c:v>
                </c:pt>
                <c:pt idx="3">
                  <c:v>33972306.837722145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'Chart tables'!$I$18</c15:sqref>
                  <c15:invertIfNegative val="0"/>
                  <c15:bubble3D val="0"/>
                </c15:categoryFilterException>
                <c15:categoryFilterException>
                  <c15:sqref>'Chart tables'!$J$18</c15:sqref>
                  <c15:invertIfNegative val="0"/>
                  <c15:bubble3D val="0"/>
                </c15:categoryFilterException>
                <c15:categoryFilterException>
                  <c15:sqref>'Chart tables'!$K$18</c15:sqref>
                  <c15:invertIfNegative val="0"/>
                  <c15:bubble3D val="0"/>
                </c15:categoryFilterException>
                <c15:categoryFilterException>
                  <c15:sqref>'Chart tables'!$L$18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'Chart tables'!$M$18</c15:sqref>
                  <c15:spPr xmlns:c15="http://schemas.microsoft.com/office/drawing/2012/chart">
                    <a:solidFill>
                      <a:schemeClr val="accent2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'Chart tables'!$N$18</c15:sqref>
                  <c15:spPr xmlns:c15="http://schemas.microsoft.com/office/drawing/2012/chart">
                    <a:solidFill>
                      <a:schemeClr val="accent2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'Chart tables'!$P$18</c15:sqref>
                  <c15:invertIfNegative val="0"/>
                  <c15:bubble3D val="0"/>
                </c15:categoryFilterException>
                <c15:categoryFilterException>
                  <c15:sqref>'Chart tables'!$Q$18</c15:sqref>
                  <c15:invertIfNegative val="0"/>
                  <c15:bubble3D val="0"/>
                </c15:categoryFilterException>
                <c15:categoryFilterException>
                  <c15:sqref>'Chart tables'!$R$18</c15:sqref>
                  <c15:invertIfNegative val="0"/>
                  <c15:bubble3D val="0"/>
                </c15:categoryFilterException>
                <c15:categoryFilterException>
                  <c15:sqref>'Chart tables'!$S$18</c15:sqref>
                  <c15:spPr xmlns:c15="http://schemas.microsoft.com/office/drawing/2012/chart">
                    <a:solidFill>
                      <a:schemeClr val="accent2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'Chart tables'!$T$18</c15:sqref>
                  <c15:spPr xmlns:c15="http://schemas.microsoft.com/office/drawing/2012/chart">
                    <a:solidFill>
                      <a:schemeClr val="accent2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5-0FD2-4B2E-AF8C-DB8FD0F4A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9031568"/>
        <c:axId val="509029272"/>
      </c:barChart>
      <c:catAx>
        <c:axId val="50903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29272"/>
        <c:crosses val="autoZero"/>
        <c:auto val="1"/>
        <c:lblAlgn val="ctr"/>
        <c:lblOffset val="100"/>
        <c:noMultiLvlLbl val="0"/>
      </c:catAx>
      <c:valAx>
        <c:axId val="509029272"/>
        <c:scaling>
          <c:orientation val="minMax"/>
          <c:max val="30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31568"/>
        <c:crosses val="autoZero"/>
        <c:crossBetween val="between"/>
        <c:majorUnit val="50000000"/>
        <c:dispUnits>
          <c:builtInUnit val="millions"/>
        </c:dispUnits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rgbClr val="788FA6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8D-48F0-9843-B123F75C2075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'Chart tables'!$D$12:$R$13</c15:sqref>
                  </c15:fullRef>
                </c:ext>
              </c:extLst>
              <c:f>'Chart tables'!$D$12:$R$13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tables'!$D$14:$R$14</c15:sqref>
                  </c15:fullRef>
                </c:ext>
              </c:extLst>
              <c:f>'Chart tables'!$D$14:$G$14</c:f>
              <c:numCache>
                <c:formatCode>#,##0</c:formatCode>
                <c:ptCount val="4"/>
                <c:pt idx="0">
                  <c:v>188320911.07375386</c:v>
                </c:pt>
                <c:pt idx="1">
                  <c:v>153906120.98581284</c:v>
                </c:pt>
                <c:pt idx="2">
                  <c:v>-23816037.104794379</c:v>
                </c:pt>
                <c:pt idx="3">
                  <c:v>46203541.531039797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'Chart tables'!$I$14</c15:sqref>
                  <c15:invertIfNegative val="0"/>
                  <c15:bubble3D val="0"/>
                </c15:categoryFilterException>
                <c15:categoryFilterException>
                  <c15:sqref>'Chart tables'!$J$14</c15:sqref>
                  <c15:invertIfNegative val="0"/>
                  <c15:bubble3D val="0"/>
                </c15:categoryFilterException>
                <c15:categoryFilterException>
                  <c15:sqref>'Chart tables'!$K$14</c15:sqref>
                  <c15:spPr xmlns:c15="http://schemas.microsoft.com/office/drawing/2012/chart">
                    <a:solidFill>
                      <a:schemeClr val="tx2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'Chart tables'!$L$14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2-758D-48F0-9843-B123F75C2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9031568"/>
        <c:axId val="509029272"/>
      </c:barChart>
      <c:catAx>
        <c:axId val="50903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29272"/>
        <c:crosses val="autoZero"/>
        <c:auto val="1"/>
        <c:lblAlgn val="ctr"/>
        <c:lblOffset val="100"/>
        <c:noMultiLvlLbl val="0"/>
      </c:catAx>
      <c:valAx>
        <c:axId val="509029272"/>
        <c:scaling>
          <c:orientation val="minMax"/>
          <c:max val="300000000"/>
          <c:min val="-10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AU" b="0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3156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rgbClr val="788FA6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'Chart tables'!$B$155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tables'!$D$154:$AC$154</c15:sqref>
                  </c15:fullRef>
                </c:ext>
              </c:extLst>
              <c:f>'Chart tables'!$D$154:$AB$154</c:f>
              <c:strCache>
                <c:ptCount val="2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tables'!$D$155:$AC$155</c15:sqref>
                  </c15:fullRef>
                </c:ext>
              </c:extLst>
              <c:f>'Chart tables'!$D$155:$AB$155</c:f>
              <c:numCache>
                <c:formatCode>#,##0</c:formatCode>
                <c:ptCount val="25"/>
                <c:pt idx="0">
                  <c:v>0</c:v>
                </c:pt>
                <c:pt idx="1">
                  <c:v>0.3660714462209525</c:v>
                </c:pt>
                <c:pt idx="2">
                  <c:v>-0.41975873641395228</c:v>
                </c:pt>
                <c:pt idx="3">
                  <c:v>-452235.83765746659</c:v>
                </c:pt>
                <c:pt idx="4">
                  <c:v>7790270.7904386595</c:v>
                </c:pt>
                <c:pt idx="5">
                  <c:v>11797671.079495747</c:v>
                </c:pt>
                <c:pt idx="6">
                  <c:v>11797671.828889551</c:v>
                </c:pt>
                <c:pt idx="7">
                  <c:v>11797672.57827027</c:v>
                </c:pt>
                <c:pt idx="8">
                  <c:v>11797673.329791514</c:v>
                </c:pt>
                <c:pt idx="9">
                  <c:v>9667456.8571427148</c:v>
                </c:pt>
                <c:pt idx="10">
                  <c:v>9352133.0660519432</c:v>
                </c:pt>
                <c:pt idx="11">
                  <c:v>9782810.6629772037</c:v>
                </c:pt>
                <c:pt idx="12">
                  <c:v>9672766.1111206226</c:v>
                </c:pt>
                <c:pt idx="13">
                  <c:v>9762197.7848929968</c:v>
                </c:pt>
                <c:pt idx="14">
                  <c:v>8351069.6257276377</c:v>
                </c:pt>
                <c:pt idx="15">
                  <c:v>8788433.713907551</c:v>
                </c:pt>
                <c:pt idx="16">
                  <c:v>9684181.7821434736</c:v>
                </c:pt>
                <c:pt idx="17">
                  <c:v>9684182.5289230067</c:v>
                </c:pt>
                <c:pt idx="18">
                  <c:v>9684183.2747713942</c:v>
                </c:pt>
                <c:pt idx="19">
                  <c:v>9684169.2243313137</c:v>
                </c:pt>
                <c:pt idx="20">
                  <c:v>12235807.294923244</c:v>
                </c:pt>
                <c:pt idx="21">
                  <c:v>8822254.0381505843</c:v>
                </c:pt>
                <c:pt idx="22">
                  <c:v>8057423.7042862773</c:v>
                </c:pt>
                <c:pt idx="23">
                  <c:v>7811708.5656812461</c:v>
                </c:pt>
                <c:pt idx="24">
                  <c:v>7019138.2997703003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27-4C7A-868E-ECB0B1EEC71E}"/>
            </c:ext>
          </c:extLst>
        </c:ser>
        <c:ser>
          <c:idx val="1"/>
          <c:order val="1"/>
          <c:tx>
            <c:strRef>
              <c:f>'Chart tables'!$B$156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tables'!$D$154:$AC$154</c15:sqref>
                  </c15:fullRef>
                </c:ext>
              </c:extLst>
              <c:f>'Chart tables'!$D$154:$AB$154</c:f>
              <c:strCache>
                <c:ptCount val="2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tables'!$D$156:$AC$156</c15:sqref>
                  </c15:fullRef>
                </c:ext>
              </c:extLst>
              <c:f>'Chart tables'!$D$156:$AB$156</c:f>
              <c:numCache>
                <c:formatCode>#,##0</c:formatCode>
                <c:ptCount val="25"/>
                <c:pt idx="0">
                  <c:v>0</c:v>
                </c:pt>
                <c:pt idx="1">
                  <c:v>8.9322189216237096</c:v>
                </c:pt>
                <c:pt idx="2">
                  <c:v>9.6348251304907961</c:v>
                </c:pt>
                <c:pt idx="3">
                  <c:v>10.336195159937134</c:v>
                </c:pt>
                <c:pt idx="4">
                  <c:v>11.697169137972807</c:v>
                </c:pt>
                <c:pt idx="5">
                  <c:v>12.594708935117206</c:v>
                </c:pt>
                <c:pt idx="6">
                  <c:v>13.464238535296488</c:v>
                </c:pt>
                <c:pt idx="7">
                  <c:v>14.402867368542193</c:v>
                </c:pt>
                <c:pt idx="8">
                  <c:v>15.77589179112764</c:v>
                </c:pt>
                <c:pt idx="9">
                  <c:v>21232076.703819759</c:v>
                </c:pt>
                <c:pt idx="10">
                  <c:v>21232079.068876062</c:v>
                </c:pt>
                <c:pt idx="11">
                  <c:v>21232079.268802494</c:v>
                </c:pt>
                <c:pt idx="12">
                  <c:v>23240121.258343238</c:v>
                </c:pt>
                <c:pt idx="13">
                  <c:v>18589813.792225178</c:v>
                </c:pt>
                <c:pt idx="14">
                  <c:v>22563330.627010025</c:v>
                </c:pt>
                <c:pt idx="15">
                  <c:v>22563330.627010025</c:v>
                </c:pt>
                <c:pt idx="16">
                  <c:v>36918145.46645315</c:v>
                </c:pt>
                <c:pt idx="17">
                  <c:v>35867066.752262503</c:v>
                </c:pt>
                <c:pt idx="18">
                  <c:v>35867066.884386115</c:v>
                </c:pt>
                <c:pt idx="19">
                  <c:v>35867067.426495805</c:v>
                </c:pt>
                <c:pt idx="20">
                  <c:v>31634355.144144997</c:v>
                </c:pt>
                <c:pt idx="21">
                  <c:v>30237822.532493401</c:v>
                </c:pt>
                <c:pt idx="22">
                  <c:v>30237823.479470473</c:v>
                </c:pt>
                <c:pt idx="23">
                  <c:v>33789516.364069037</c:v>
                </c:pt>
                <c:pt idx="24">
                  <c:v>24402541.361255635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27-4C7A-868E-ECB0B1EEC71E}"/>
            </c:ext>
          </c:extLst>
        </c:ser>
        <c:ser>
          <c:idx val="2"/>
          <c:order val="2"/>
          <c:tx>
            <c:strRef>
              <c:f>'Chart tables'!$B$157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tables'!$D$154:$AC$154</c15:sqref>
                  </c15:fullRef>
                </c:ext>
              </c:extLst>
              <c:f>'Chart tables'!$D$154:$AB$154</c:f>
              <c:strCache>
                <c:ptCount val="2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tables'!$D$157:$AC$157</c15:sqref>
                  </c15:fullRef>
                </c:ext>
              </c:extLst>
              <c:f>'Chart tables'!$D$157:$AB$157</c:f>
              <c:numCache>
                <c:formatCode>#,##0</c:formatCode>
                <c:ptCount val="25"/>
                <c:pt idx="0">
                  <c:v>0</c:v>
                </c:pt>
                <c:pt idx="1">
                  <c:v>-19.613860349141845</c:v>
                </c:pt>
                <c:pt idx="2">
                  <c:v>34711.327239560604</c:v>
                </c:pt>
                <c:pt idx="3">
                  <c:v>4877387.4572815299</c:v>
                </c:pt>
                <c:pt idx="4">
                  <c:v>9982711.8485220317</c:v>
                </c:pt>
                <c:pt idx="5">
                  <c:v>15187041.382419558</c:v>
                </c:pt>
                <c:pt idx="6">
                  <c:v>22565277.623996492</c:v>
                </c:pt>
                <c:pt idx="7">
                  <c:v>27669086.316538088</c:v>
                </c:pt>
                <c:pt idx="8">
                  <c:v>33411431.494215116</c:v>
                </c:pt>
                <c:pt idx="9">
                  <c:v>30863934.390960872</c:v>
                </c:pt>
                <c:pt idx="10">
                  <c:v>24546306.343359601</c:v>
                </c:pt>
                <c:pt idx="11">
                  <c:v>17330990.187805548</c:v>
                </c:pt>
                <c:pt idx="12">
                  <c:v>12716798.445726542</c:v>
                </c:pt>
                <c:pt idx="13">
                  <c:v>18591079.699501354</c:v>
                </c:pt>
                <c:pt idx="14">
                  <c:v>19545794.610888463</c:v>
                </c:pt>
                <c:pt idx="15">
                  <c:v>11338390.587202756</c:v>
                </c:pt>
                <c:pt idx="16">
                  <c:v>6517931.3303204663</c:v>
                </c:pt>
                <c:pt idx="17">
                  <c:v>13718212.094429877</c:v>
                </c:pt>
                <c:pt idx="18">
                  <c:v>18756245.292854548</c:v>
                </c:pt>
                <c:pt idx="19">
                  <c:v>21310713.073569786</c:v>
                </c:pt>
                <c:pt idx="20">
                  <c:v>25247639.426954508</c:v>
                </c:pt>
                <c:pt idx="21">
                  <c:v>33538154.085715562</c:v>
                </c:pt>
                <c:pt idx="22">
                  <c:v>37016284.554843508</c:v>
                </c:pt>
                <c:pt idx="23">
                  <c:v>35307818.489086792</c:v>
                </c:pt>
                <c:pt idx="24">
                  <c:v>49043033.478706181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27-4C7A-868E-ECB0B1EEC71E}"/>
            </c:ext>
          </c:extLst>
        </c:ser>
        <c:ser>
          <c:idx val="3"/>
          <c:order val="3"/>
          <c:tx>
            <c:strRef>
              <c:f>'Chart tables'!$B$158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tables'!$D$154:$AC$154</c15:sqref>
                  </c15:fullRef>
                </c:ext>
              </c:extLst>
              <c:f>'Chart tables'!$D$154:$AB$154</c:f>
              <c:strCache>
                <c:ptCount val="2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tables'!$D$158:$AC$158</c15:sqref>
                  </c15:fullRef>
                </c:ext>
              </c:extLst>
              <c:f>'Chart tables'!$D$158:$AB$158</c:f>
              <c:numCache>
                <c:formatCode>#,##0</c:formatCode>
                <c:ptCount val="25"/>
                <c:pt idx="0">
                  <c:v>0</c:v>
                </c:pt>
                <c:pt idx="1">
                  <c:v>2.3777149824339396</c:v>
                </c:pt>
                <c:pt idx="2">
                  <c:v>4.7760094045799999</c:v>
                </c:pt>
                <c:pt idx="3">
                  <c:v>132310.34253837384</c:v>
                </c:pt>
                <c:pt idx="4">
                  <c:v>271384.61803724128</c:v>
                </c:pt>
                <c:pt idx="5">
                  <c:v>295946.08828025777</c:v>
                </c:pt>
                <c:pt idx="6">
                  <c:v>295948.52883931895</c:v>
                </c:pt>
                <c:pt idx="7">
                  <c:v>297912.35151952313</c:v>
                </c:pt>
                <c:pt idx="8">
                  <c:v>298908.17245068308</c:v>
                </c:pt>
                <c:pt idx="9">
                  <c:v>326468.69385533652</c:v>
                </c:pt>
                <c:pt idx="10">
                  <c:v>330423.76001711882</c:v>
                </c:pt>
                <c:pt idx="11">
                  <c:v>322804.23889628943</c:v>
                </c:pt>
                <c:pt idx="12">
                  <c:v>330859.50308088248</c:v>
                </c:pt>
                <c:pt idx="13">
                  <c:v>704003.31943014264</c:v>
                </c:pt>
                <c:pt idx="14">
                  <c:v>892493.73277934687</c:v>
                </c:pt>
                <c:pt idx="15">
                  <c:v>1344553.30965622</c:v>
                </c:pt>
                <c:pt idx="16">
                  <c:v>2177059.1763452115</c:v>
                </c:pt>
                <c:pt idx="17">
                  <c:v>2177059.189372729</c:v>
                </c:pt>
                <c:pt idx="18">
                  <c:v>2158733.0456239874</c:v>
                </c:pt>
                <c:pt idx="19">
                  <c:v>2037646.3124202637</c:v>
                </c:pt>
                <c:pt idx="20">
                  <c:v>3842954.8026971314</c:v>
                </c:pt>
                <c:pt idx="21">
                  <c:v>2869146.3967527142</c:v>
                </c:pt>
                <c:pt idx="22">
                  <c:v>3809484.8536673444</c:v>
                </c:pt>
                <c:pt idx="23">
                  <c:v>3905932.0374671216</c:v>
                </c:pt>
                <c:pt idx="24">
                  <c:v>3883045.9164339243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727-4C7A-868E-ECB0B1EEC71E}"/>
            </c:ext>
          </c:extLst>
        </c:ser>
        <c:ser>
          <c:idx val="4"/>
          <c:order val="4"/>
          <c:tx>
            <c:strRef>
              <c:f>'Chart tables'!$B$159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tables'!$D$154:$AC$154</c15:sqref>
                  </c15:fullRef>
                </c:ext>
              </c:extLst>
              <c:f>'Chart tables'!$D$154:$AB$154</c:f>
              <c:strCache>
                <c:ptCount val="2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tables'!$D$159:$AC$159</c15:sqref>
                  </c15:fullRef>
                </c:ext>
              </c:extLst>
              <c:f>'Chart tables'!$D$159:$AB$159</c:f>
              <c:numCache>
                <c:formatCode>#,##0</c:formatCode>
                <c:ptCount val="25"/>
                <c:pt idx="0">
                  <c:v>0</c:v>
                </c:pt>
                <c:pt idx="1">
                  <c:v>282.91664515271066</c:v>
                </c:pt>
                <c:pt idx="2">
                  <c:v>8534.9983951266877</c:v>
                </c:pt>
                <c:pt idx="3">
                  <c:v>146195223.60747162</c:v>
                </c:pt>
                <c:pt idx="4">
                  <c:v>131445344.9422693</c:v>
                </c:pt>
                <c:pt idx="5">
                  <c:v>131148741.79159077</c:v>
                </c:pt>
                <c:pt idx="6">
                  <c:v>132435233.68291697</c:v>
                </c:pt>
                <c:pt idx="7">
                  <c:v>135604770.16009396</c:v>
                </c:pt>
                <c:pt idx="8">
                  <c:v>138850708.48442405</c:v>
                </c:pt>
                <c:pt idx="9">
                  <c:v>273604955.87284935</c:v>
                </c:pt>
                <c:pt idx="10">
                  <c:v>312535571.25674367</c:v>
                </c:pt>
                <c:pt idx="11">
                  <c:v>312116469.36824715</c:v>
                </c:pt>
                <c:pt idx="12">
                  <c:v>340826137.95310783</c:v>
                </c:pt>
                <c:pt idx="13">
                  <c:v>220571777.91107929</c:v>
                </c:pt>
                <c:pt idx="14">
                  <c:v>278402167.61008108</c:v>
                </c:pt>
                <c:pt idx="15">
                  <c:v>365948833.11033452</c:v>
                </c:pt>
                <c:pt idx="16">
                  <c:v>390617634.68397689</c:v>
                </c:pt>
                <c:pt idx="17">
                  <c:v>273035396.53378153</c:v>
                </c:pt>
                <c:pt idx="18">
                  <c:v>269397885.8706218</c:v>
                </c:pt>
                <c:pt idx="19">
                  <c:v>268014126.5813548</c:v>
                </c:pt>
                <c:pt idx="20">
                  <c:v>301521629.84840441</c:v>
                </c:pt>
                <c:pt idx="21">
                  <c:v>276411117.57572812</c:v>
                </c:pt>
                <c:pt idx="22">
                  <c:v>296711828.74215418</c:v>
                </c:pt>
                <c:pt idx="23">
                  <c:v>303371064.93603617</c:v>
                </c:pt>
                <c:pt idx="24">
                  <c:v>291834022.97580492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727-4C7A-868E-ECB0B1EEC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73224024"/>
        <c:axId val="673222056"/>
      </c:barChart>
      <c:catAx>
        <c:axId val="673224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t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222056"/>
        <c:crosses val="autoZero"/>
        <c:auto val="1"/>
        <c:lblAlgn val="ctr"/>
        <c:lblOffset val="100"/>
        <c:noMultiLvlLbl val="0"/>
      </c:catAx>
      <c:valAx>
        <c:axId val="673222056"/>
        <c:scaling>
          <c:orientation val="minMax"/>
          <c:max val="6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224024"/>
        <c:crosses val="autoZero"/>
        <c:crossBetween val="between"/>
        <c:dispUnits>
          <c:builtInUnit val="millions"/>
        </c:dispUnits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'Chart tables'!$B$162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tables'!$D$161:$AC$161</c15:sqref>
                  </c15:fullRef>
                </c:ext>
              </c:extLst>
              <c:f>'Chart tables'!$D$161:$AB$161</c:f>
              <c:strCache>
                <c:ptCount val="2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tables'!$D$162:$AC$162</c15:sqref>
                  </c15:fullRef>
                </c:ext>
              </c:extLst>
              <c:f>'Chart tables'!$D$162:$AB$162</c:f>
              <c:numCache>
                <c:formatCode>#,##0</c:formatCode>
                <c:ptCount val="25"/>
                <c:pt idx="0">
                  <c:v>0</c:v>
                </c:pt>
                <c:pt idx="1">
                  <c:v>3.6167450212464702E-2</c:v>
                </c:pt>
                <c:pt idx="2">
                  <c:v>6.8306133888553083E-2</c:v>
                </c:pt>
                <c:pt idx="3">
                  <c:v>-2870803.2556791268</c:v>
                </c:pt>
                <c:pt idx="4">
                  <c:v>-2304674.1433800375</c:v>
                </c:pt>
                <c:pt idx="5">
                  <c:v>2766472.2492095167</c:v>
                </c:pt>
                <c:pt idx="6">
                  <c:v>2766472.2853923021</c:v>
                </c:pt>
                <c:pt idx="7">
                  <c:v>2766472.3215713263</c:v>
                </c:pt>
                <c:pt idx="8">
                  <c:v>2766472.3578663934</c:v>
                </c:pt>
                <c:pt idx="9">
                  <c:v>3080950.5107482979</c:v>
                </c:pt>
                <c:pt idx="10">
                  <c:v>1765450.6373112141</c:v>
                </c:pt>
                <c:pt idx="11">
                  <c:v>1734582.5863383177</c:v>
                </c:pt>
                <c:pt idx="12">
                  <c:v>1734582.6225945973</c:v>
                </c:pt>
                <c:pt idx="13">
                  <c:v>712029.49131645425</c:v>
                </c:pt>
                <c:pt idx="14">
                  <c:v>-285770.7126079459</c:v>
                </c:pt>
                <c:pt idx="15">
                  <c:v>-464417.78542717913</c:v>
                </c:pt>
                <c:pt idx="16">
                  <c:v>-721223.32458294672</c:v>
                </c:pt>
                <c:pt idx="17">
                  <c:v>-721223.2885857888</c:v>
                </c:pt>
                <c:pt idx="18">
                  <c:v>-721223.25262275396</c:v>
                </c:pt>
                <c:pt idx="19">
                  <c:v>-736036.58807033289</c:v>
                </c:pt>
                <c:pt idx="20">
                  <c:v>6746598.7761036428</c:v>
                </c:pt>
                <c:pt idx="21">
                  <c:v>6746598.8120198799</c:v>
                </c:pt>
                <c:pt idx="22">
                  <c:v>7193245.2557468386</c:v>
                </c:pt>
                <c:pt idx="23">
                  <c:v>7178237.8938604333</c:v>
                </c:pt>
                <c:pt idx="24">
                  <c:v>7482011.1458391119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82-47A7-84C5-C46397806E2B}"/>
            </c:ext>
          </c:extLst>
        </c:ser>
        <c:ser>
          <c:idx val="1"/>
          <c:order val="1"/>
          <c:tx>
            <c:strRef>
              <c:f>'Chart tables'!$B$163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tables'!$D$161:$AC$161</c15:sqref>
                  </c15:fullRef>
                </c:ext>
              </c:extLst>
              <c:f>'Chart tables'!$D$161:$AB$161</c:f>
              <c:strCache>
                <c:ptCount val="2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tables'!$D$163:$AC$163</c15:sqref>
                  </c15:fullRef>
                </c:ext>
              </c:extLst>
              <c:f>'Chart tables'!$D$163:$AB$163</c:f>
              <c:numCache>
                <c:formatCode>#,##0</c:formatCode>
                <c:ptCount val="25"/>
                <c:pt idx="0">
                  <c:v>0</c:v>
                </c:pt>
                <c:pt idx="1">
                  <c:v>0.43950615148547201</c:v>
                </c:pt>
                <c:pt idx="2">
                  <c:v>0.46660901443362929</c:v>
                </c:pt>
                <c:pt idx="3">
                  <c:v>12029450.527846817</c:v>
                </c:pt>
                <c:pt idx="4">
                  <c:v>12029450.509402184</c:v>
                </c:pt>
                <c:pt idx="5">
                  <c:v>2824731.8383748438</c:v>
                </c:pt>
                <c:pt idx="6">
                  <c:v>16065127.078909479</c:v>
                </c:pt>
                <c:pt idx="7">
                  <c:v>16065127.095339296</c:v>
                </c:pt>
                <c:pt idx="8">
                  <c:v>34499286.250059925</c:v>
                </c:pt>
                <c:pt idx="9">
                  <c:v>31654526.862807784</c:v>
                </c:pt>
                <c:pt idx="10">
                  <c:v>29061367.339399226</c:v>
                </c:pt>
                <c:pt idx="11">
                  <c:v>26550022.976223763</c:v>
                </c:pt>
                <c:pt idx="12">
                  <c:v>24920461.134809818</c:v>
                </c:pt>
                <c:pt idx="13">
                  <c:v>34300257.841606431</c:v>
                </c:pt>
                <c:pt idx="14">
                  <c:v>32557572.915697873</c:v>
                </c:pt>
                <c:pt idx="15">
                  <c:v>32557572.910149213</c:v>
                </c:pt>
                <c:pt idx="16">
                  <c:v>40076200.947574168</c:v>
                </c:pt>
                <c:pt idx="17">
                  <c:v>33234478.587103277</c:v>
                </c:pt>
                <c:pt idx="18">
                  <c:v>31400871.18626181</c:v>
                </c:pt>
                <c:pt idx="19">
                  <c:v>27485302.99735681</c:v>
                </c:pt>
                <c:pt idx="20">
                  <c:v>35020302.867865749</c:v>
                </c:pt>
                <c:pt idx="21">
                  <c:v>34093652.767786659</c:v>
                </c:pt>
                <c:pt idx="22">
                  <c:v>35955560.551864468</c:v>
                </c:pt>
                <c:pt idx="23">
                  <c:v>35955560.546582729</c:v>
                </c:pt>
                <c:pt idx="24">
                  <c:v>36913973.165924698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82-47A7-84C5-C46397806E2B}"/>
            </c:ext>
          </c:extLst>
        </c:ser>
        <c:ser>
          <c:idx val="2"/>
          <c:order val="2"/>
          <c:tx>
            <c:strRef>
              <c:f>'Chart tables'!$B$164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tables'!$D$161:$AC$161</c15:sqref>
                  </c15:fullRef>
                </c:ext>
              </c:extLst>
              <c:f>'Chart tables'!$D$161:$AB$161</c:f>
              <c:strCache>
                <c:ptCount val="2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tables'!$D$164:$AC$164</c15:sqref>
                  </c15:fullRef>
                </c:ext>
              </c:extLst>
              <c:f>'Chart tables'!$D$164:$AB$164</c:f>
              <c:numCache>
                <c:formatCode>#,##0</c:formatCode>
                <c:ptCount val="25"/>
                <c:pt idx="0">
                  <c:v>0</c:v>
                </c:pt>
                <c:pt idx="1">
                  <c:v>-204.88707449663576</c:v>
                </c:pt>
                <c:pt idx="2">
                  <c:v>-79660.993441159371</c:v>
                </c:pt>
                <c:pt idx="3">
                  <c:v>565648.46236954699</c:v>
                </c:pt>
                <c:pt idx="4">
                  <c:v>2316633.1300893831</c:v>
                </c:pt>
                <c:pt idx="5">
                  <c:v>2951841.5051668566</c:v>
                </c:pt>
                <c:pt idx="6">
                  <c:v>2780863.1959753493</c:v>
                </c:pt>
                <c:pt idx="7">
                  <c:v>3047518.3287091795</c:v>
                </c:pt>
                <c:pt idx="8">
                  <c:v>4606475.9763847981</c:v>
                </c:pt>
                <c:pt idx="9">
                  <c:v>6465690.0105237542</c:v>
                </c:pt>
                <c:pt idx="10">
                  <c:v>7234974.9640859673</c:v>
                </c:pt>
                <c:pt idx="11">
                  <c:v>9035414.8081246689</c:v>
                </c:pt>
                <c:pt idx="12">
                  <c:v>13512010.969160371</c:v>
                </c:pt>
                <c:pt idx="13">
                  <c:v>17824231.49131012</c:v>
                </c:pt>
                <c:pt idx="14">
                  <c:v>24830824.451211277</c:v>
                </c:pt>
                <c:pt idx="15">
                  <c:v>23425506.956017464</c:v>
                </c:pt>
                <c:pt idx="16">
                  <c:v>25938956.187780693</c:v>
                </c:pt>
                <c:pt idx="17">
                  <c:v>26711669.737556938</c:v>
                </c:pt>
                <c:pt idx="18">
                  <c:v>30094160.515457671</c:v>
                </c:pt>
                <c:pt idx="19">
                  <c:v>32464354.116108544</c:v>
                </c:pt>
                <c:pt idx="20">
                  <c:v>38027789.363068052</c:v>
                </c:pt>
                <c:pt idx="21">
                  <c:v>42429661.301724836</c:v>
                </c:pt>
                <c:pt idx="22">
                  <c:v>48604898.973449931</c:v>
                </c:pt>
                <c:pt idx="23">
                  <c:v>54216868.690724283</c:v>
                </c:pt>
                <c:pt idx="24">
                  <c:v>61660230.440587848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82-47A7-84C5-C46397806E2B}"/>
            </c:ext>
          </c:extLst>
        </c:ser>
        <c:ser>
          <c:idx val="3"/>
          <c:order val="3"/>
          <c:tx>
            <c:strRef>
              <c:f>'Chart tables'!$B$165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tables'!$D$161:$AC$161</c15:sqref>
                  </c15:fullRef>
                </c:ext>
              </c:extLst>
              <c:f>'Chart tables'!$D$161:$AB$161</c:f>
              <c:strCache>
                <c:ptCount val="2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tables'!$D$165:$AC$165</c15:sqref>
                  </c15:fullRef>
                </c:ext>
              </c:extLst>
              <c:f>'Chart tables'!$D$165:$AB$165</c:f>
              <c:numCache>
                <c:formatCode>#,##0</c:formatCode>
                <c:ptCount val="25"/>
                <c:pt idx="0">
                  <c:v>0</c:v>
                </c:pt>
                <c:pt idx="1">
                  <c:v>0.1172790404150726</c:v>
                </c:pt>
                <c:pt idx="2">
                  <c:v>0.23048948221336918</c:v>
                </c:pt>
                <c:pt idx="3">
                  <c:v>275131.55023072899</c:v>
                </c:pt>
                <c:pt idx="4">
                  <c:v>-1083.1817767613102</c:v>
                </c:pt>
                <c:pt idx="5">
                  <c:v>-66712.905629296656</c:v>
                </c:pt>
                <c:pt idx="6">
                  <c:v>-66712.782396665207</c:v>
                </c:pt>
                <c:pt idx="7">
                  <c:v>-66712.660999257059</c:v>
                </c:pt>
                <c:pt idx="8">
                  <c:v>-66712.533283718905</c:v>
                </c:pt>
                <c:pt idx="9">
                  <c:v>-99119.838544422921</c:v>
                </c:pt>
                <c:pt idx="10">
                  <c:v>-106847.53131009615</c:v>
                </c:pt>
                <c:pt idx="11">
                  <c:v>-98537.515224033486</c:v>
                </c:pt>
                <c:pt idx="12">
                  <c:v>-80129.752057134625</c:v>
                </c:pt>
                <c:pt idx="13">
                  <c:v>-139908.28349103758</c:v>
                </c:pt>
                <c:pt idx="14">
                  <c:v>321701.52073008078</c:v>
                </c:pt>
                <c:pt idx="15">
                  <c:v>1078454.704554141</c:v>
                </c:pt>
                <c:pt idx="16">
                  <c:v>3153347.0963395797</c:v>
                </c:pt>
                <c:pt idx="17">
                  <c:v>3153347.2281850027</c:v>
                </c:pt>
                <c:pt idx="18">
                  <c:v>3153347.363153792</c:v>
                </c:pt>
                <c:pt idx="19">
                  <c:v>3171574.1549180634</c:v>
                </c:pt>
                <c:pt idx="20">
                  <c:v>5726633.1466724779</c:v>
                </c:pt>
                <c:pt idx="21">
                  <c:v>6174247.5189782567</c:v>
                </c:pt>
                <c:pt idx="22">
                  <c:v>10668449.063384594</c:v>
                </c:pt>
                <c:pt idx="23">
                  <c:v>12087165.925510276</c:v>
                </c:pt>
                <c:pt idx="24">
                  <c:v>19160093.986892235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C82-47A7-84C5-C46397806E2B}"/>
            </c:ext>
          </c:extLst>
        </c:ser>
        <c:ser>
          <c:idx val="4"/>
          <c:order val="4"/>
          <c:tx>
            <c:strRef>
              <c:f>'Chart tables'!$B$166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tables'!$D$161:$AC$161</c15:sqref>
                  </c15:fullRef>
                </c:ext>
              </c:extLst>
              <c:f>'Chart tables'!$D$161:$AB$161</c:f>
              <c:strCache>
                <c:ptCount val="2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tables'!$D$166:$AC$166</c15:sqref>
                  </c15:fullRef>
                </c:ext>
              </c:extLst>
              <c:f>'Chart tables'!$D$166:$AB$166</c:f>
              <c:numCache>
                <c:formatCode>#,##0</c:formatCode>
                <c:ptCount val="25"/>
                <c:pt idx="0">
                  <c:v>0</c:v>
                </c:pt>
                <c:pt idx="1">
                  <c:v>23.670094546785439</c:v>
                </c:pt>
                <c:pt idx="2">
                  <c:v>5117.22307678172</c:v>
                </c:pt>
                <c:pt idx="3">
                  <c:v>202929812.51929307</c:v>
                </c:pt>
                <c:pt idx="4">
                  <c:v>182401730.42383751</c:v>
                </c:pt>
                <c:pt idx="5">
                  <c:v>159253014.86105269</c:v>
                </c:pt>
                <c:pt idx="6">
                  <c:v>147915024.9943766</c:v>
                </c:pt>
                <c:pt idx="7">
                  <c:v>157079931.87584299</c:v>
                </c:pt>
                <c:pt idx="8">
                  <c:v>176720447.2116645</c:v>
                </c:pt>
                <c:pt idx="9">
                  <c:v>191475875.11739835</c:v>
                </c:pt>
                <c:pt idx="10">
                  <c:v>208355942.48286736</c:v>
                </c:pt>
                <c:pt idx="11">
                  <c:v>175697959.0703862</c:v>
                </c:pt>
                <c:pt idx="12">
                  <c:v>156396570.16801053</c:v>
                </c:pt>
                <c:pt idx="13">
                  <c:v>183063510.06153724</c:v>
                </c:pt>
                <c:pt idx="14">
                  <c:v>168199259.41877601</c:v>
                </c:pt>
                <c:pt idx="15">
                  <c:v>212410577.88920969</c:v>
                </c:pt>
                <c:pt idx="16">
                  <c:v>259353706.51364797</c:v>
                </c:pt>
                <c:pt idx="17">
                  <c:v>261300266.47443774</c:v>
                </c:pt>
                <c:pt idx="18">
                  <c:v>235867007.74321553</c:v>
                </c:pt>
                <c:pt idx="19">
                  <c:v>227896919.06478956</c:v>
                </c:pt>
                <c:pt idx="20">
                  <c:v>230608284.54540354</c:v>
                </c:pt>
                <c:pt idx="21">
                  <c:v>234787464.03452447</c:v>
                </c:pt>
                <c:pt idx="22">
                  <c:v>233033937.02873501</c:v>
                </c:pt>
                <c:pt idx="23">
                  <c:v>232794465.07211617</c:v>
                </c:pt>
                <c:pt idx="24">
                  <c:v>252307628.365307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C82-47A7-84C5-C46397806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73224024"/>
        <c:axId val="673222056"/>
      </c:barChart>
      <c:catAx>
        <c:axId val="673224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t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222056"/>
        <c:crosses val="autoZero"/>
        <c:auto val="1"/>
        <c:lblAlgn val="ctr"/>
        <c:lblOffset val="100"/>
        <c:noMultiLvlLbl val="0"/>
      </c:catAx>
      <c:valAx>
        <c:axId val="673222056"/>
        <c:scaling>
          <c:orientation val="minMax"/>
          <c:max val="6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224024"/>
        <c:crosses val="autoZero"/>
        <c:crossBetween val="between"/>
        <c:dispUnits>
          <c:builtInUnit val="millions"/>
        </c:dispUnits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'Chart tables'!$B$169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'Chart tables'!$D$168:$AC$168</c:f>
              <c:strCache>
                <c:ptCount val="2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</c:strCache>
            </c:strRef>
          </c:cat>
          <c:val>
            <c:numRef>
              <c:f>'Chart tables'!$D$169:$AC$169</c:f>
              <c:numCache>
                <c:formatCode>#,##0</c:formatCode>
                <c:ptCount val="26"/>
                <c:pt idx="0">
                  <c:v>0</c:v>
                </c:pt>
                <c:pt idx="1">
                  <c:v>-20.618794902779229</c:v>
                </c:pt>
                <c:pt idx="2">
                  <c:v>-32.527208988981599</c:v>
                </c:pt>
                <c:pt idx="3">
                  <c:v>2697249.2311882358</c:v>
                </c:pt>
                <c:pt idx="4">
                  <c:v>1878149.0903192849</c:v>
                </c:pt>
                <c:pt idx="5">
                  <c:v>2965022.4054170218</c:v>
                </c:pt>
                <c:pt idx="6">
                  <c:v>4667454.1953336112</c:v>
                </c:pt>
                <c:pt idx="7">
                  <c:v>5448268.2182400869</c:v>
                </c:pt>
                <c:pt idx="8">
                  <c:v>6355309.2097039614</c:v>
                </c:pt>
                <c:pt idx="9">
                  <c:v>-182979.28106840514</c:v>
                </c:pt>
                <c:pt idx="10">
                  <c:v>-360489.9360024638</c:v>
                </c:pt>
                <c:pt idx="11">
                  <c:v>-360485.92400655086</c:v>
                </c:pt>
                <c:pt idx="12">
                  <c:v>22013.96086912934</c:v>
                </c:pt>
                <c:pt idx="13">
                  <c:v>-667937.71872004936</c:v>
                </c:pt>
                <c:pt idx="14">
                  <c:v>-443194.93156331329</c:v>
                </c:pt>
                <c:pt idx="15">
                  <c:v>-556116.09725024831</c:v>
                </c:pt>
                <c:pt idx="16">
                  <c:v>2222591.5277994713</c:v>
                </c:pt>
                <c:pt idx="17">
                  <c:v>2254553.8946773619</c:v>
                </c:pt>
                <c:pt idx="18">
                  <c:v>4573133.1912408778</c:v>
                </c:pt>
                <c:pt idx="19">
                  <c:v>5310733.0587612521</c:v>
                </c:pt>
                <c:pt idx="20">
                  <c:v>5302581.6989457477</c:v>
                </c:pt>
                <c:pt idx="21">
                  <c:v>5269302.1974732839</c:v>
                </c:pt>
                <c:pt idx="22">
                  <c:v>5217983.7729960578</c:v>
                </c:pt>
                <c:pt idx="23">
                  <c:v>6200571.2275091494</c:v>
                </c:pt>
                <c:pt idx="24">
                  <c:v>6398887.5307892254</c:v>
                </c:pt>
                <c:pt idx="25">
                  <c:v>6398891.4125586469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50-4AAB-BF71-35397810D457}"/>
            </c:ext>
          </c:extLst>
        </c:ser>
        <c:ser>
          <c:idx val="1"/>
          <c:order val="1"/>
          <c:tx>
            <c:strRef>
              <c:f>'Chart tables'!$B$170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'Chart tables'!$D$168:$AC$168</c:f>
              <c:strCache>
                <c:ptCount val="2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</c:strCache>
            </c:strRef>
          </c:cat>
          <c:val>
            <c:numRef>
              <c:f>'Chart tables'!$D$170:$AC$170</c:f>
              <c:numCache>
                <c:formatCode>#,##0</c:formatCode>
                <c:ptCount val="26"/>
                <c:pt idx="0">
                  <c:v>0</c:v>
                </c:pt>
                <c:pt idx="1">
                  <c:v>48.580964303435536</c:v>
                </c:pt>
                <c:pt idx="2">
                  <c:v>50.139776182518553</c:v>
                </c:pt>
                <c:pt idx="3">
                  <c:v>55.238881331843068</c:v>
                </c:pt>
                <c:pt idx="4">
                  <c:v>56.790657323048841</c:v>
                </c:pt>
                <c:pt idx="5">
                  <c:v>58.700486305532728</c:v>
                </c:pt>
                <c:pt idx="6">
                  <c:v>61.330545088301868</c:v>
                </c:pt>
                <c:pt idx="7">
                  <c:v>63.656409366326237</c:v>
                </c:pt>
                <c:pt idx="8">
                  <c:v>65.295158819699168</c:v>
                </c:pt>
                <c:pt idx="9">
                  <c:v>74.243066934351233</c:v>
                </c:pt>
                <c:pt idx="10">
                  <c:v>85.830504494313914</c:v>
                </c:pt>
                <c:pt idx="11">
                  <c:v>86.514395057356111</c:v>
                </c:pt>
                <c:pt idx="12">
                  <c:v>86.887757313401352</c:v>
                </c:pt>
                <c:pt idx="13">
                  <c:v>90.160769397269888</c:v>
                </c:pt>
                <c:pt idx="14">
                  <c:v>93.48342827269849</c:v>
                </c:pt>
                <c:pt idx="15">
                  <c:v>93.972664882819231</c:v>
                </c:pt>
                <c:pt idx="16">
                  <c:v>16271469.440497518</c:v>
                </c:pt>
                <c:pt idx="17">
                  <c:v>15072803.885287907</c:v>
                </c:pt>
                <c:pt idx="18">
                  <c:v>11347583.678173222</c:v>
                </c:pt>
                <c:pt idx="19">
                  <c:v>13105517.399895392</c:v>
                </c:pt>
                <c:pt idx="20">
                  <c:v>11680319.46576098</c:v>
                </c:pt>
                <c:pt idx="21">
                  <c:v>10234228.85487579</c:v>
                </c:pt>
                <c:pt idx="22">
                  <c:v>9628141.6384409796</c:v>
                </c:pt>
                <c:pt idx="23">
                  <c:v>9628142.3142613228</c:v>
                </c:pt>
                <c:pt idx="24">
                  <c:v>9003385.5473283324</c:v>
                </c:pt>
                <c:pt idx="25">
                  <c:v>8793619.3215439301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50-4AAB-BF71-35397810D457}"/>
            </c:ext>
          </c:extLst>
        </c:ser>
        <c:ser>
          <c:idx val="2"/>
          <c:order val="2"/>
          <c:tx>
            <c:strRef>
              <c:f>'Chart tables'!$B$171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'Chart tables'!$D$168:$AC$168</c:f>
              <c:strCache>
                <c:ptCount val="2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</c:strCache>
            </c:strRef>
          </c:cat>
          <c:val>
            <c:numRef>
              <c:f>'Chart tables'!$D$171:$AC$171</c:f>
              <c:numCache>
                <c:formatCode>#,##0</c:formatCode>
                <c:ptCount val="26"/>
                <c:pt idx="0">
                  <c:v>0</c:v>
                </c:pt>
                <c:pt idx="1">
                  <c:v>6.1737106474533299</c:v>
                </c:pt>
                <c:pt idx="2">
                  <c:v>-13043.306707233904</c:v>
                </c:pt>
                <c:pt idx="3">
                  <c:v>3557193.0309118447</c:v>
                </c:pt>
                <c:pt idx="4">
                  <c:v>6667541.8241728339</c:v>
                </c:pt>
                <c:pt idx="5">
                  <c:v>10031409.488079965</c:v>
                </c:pt>
                <c:pt idx="6">
                  <c:v>12917276.540699901</c:v>
                </c:pt>
                <c:pt idx="7">
                  <c:v>16348799.527784925</c:v>
                </c:pt>
                <c:pt idx="8">
                  <c:v>20000213.491345443</c:v>
                </c:pt>
                <c:pt idx="9">
                  <c:v>21580063.767299201</c:v>
                </c:pt>
                <c:pt idx="10">
                  <c:v>20922193.327910524</c:v>
                </c:pt>
                <c:pt idx="11">
                  <c:v>19804349.833636783</c:v>
                </c:pt>
                <c:pt idx="12">
                  <c:v>19238416.659622051</c:v>
                </c:pt>
                <c:pt idx="13">
                  <c:v>20203285.557874184</c:v>
                </c:pt>
                <c:pt idx="14">
                  <c:v>23058029.417030808</c:v>
                </c:pt>
                <c:pt idx="15">
                  <c:v>23769725.603177141</c:v>
                </c:pt>
                <c:pt idx="16">
                  <c:v>24295683.781107079</c:v>
                </c:pt>
                <c:pt idx="17">
                  <c:v>20953781.663236823</c:v>
                </c:pt>
                <c:pt idx="18">
                  <c:v>28578402.869228505</c:v>
                </c:pt>
                <c:pt idx="19">
                  <c:v>31139127.147256378</c:v>
                </c:pt>
                <c:pt idx="20">
                  <c:v>36046404.670985907</c:v>
                </c:pt>
                <c:pt idx="21">
                  <c:v>39031925.72372584</c:v>
                </c:pt>
                <c:pt idx="22">
                  <c:v>43839440.71786993</c:v>
                </c:pt>
                <c:pt idx="23">
                  <c:v>48153802.692642711</c:v>
                </c:pt>
                <c:pt idx="24">
                  <c:v>53017050.035668723</c:v>
                </c:pt>
                <c:pt idx="25">
                  <c:v>55523468.223856345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50-4AAB-BF71-35397810D457}"/>
            </c:ext>
          </c:extLst>
        </c:ser>
        <c:ser>
          <c:idx val="3"/>
          <c:order val="3"/>
          <c:tx>
            <c:strRef>
              <c:f>'Chart tables'!$B$172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'Chart tables'!$D$168:$AC$168</c:f>
              <c:strCache>
                <c:ptCount val="2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</c:strCache>
            </c:strRef>
          </c:cat>
          <c:val>
            <c:numRef>
              <c:f>'Chart tables'!$D$172:$AC$172</c:f>
              <c:numCache>
                <c:formatCode>#,##0</c:formatCode>
                <c:ptCount val="26"/>
                <c:pt idx="0">
                  <c:v>0</c:v>
                </c:pt>
                <c:pt idx="1">
                  <c:v>4.3107849277329056</c:v>
                </c:pt>
                <c:pt idx="2">
                  <c:v>8.5947223924427654</c:v>
                </c:pt>
                <c:pt idx="3">
                  <c:v>-5835.6883282463768</c:v>
                </c:pt>
                <c:pt idx="4">
                  <c:v>77337.859088666126</c:v>
                </c:pt>
                <c:pt idx="5">
                  <c:v>69078.805930731178</c:v>
                </c:pt>
                <c:pt idx="6">
                  <c:v>84519.700087373436</c:v>
                </c:pt>
                <c:pt idx="7">
                  <c:v>64935.909431350738</c:v>
                </c:pt>
                <c:pt idx="8">
                  <c:v>134798.44874945606</c:v>
                </c:pt>
                <c:pt idx="9">
                  <c:v>39240.587190470236</c:v>
                </c:pt>
                <c:pt idx="10">
                  <c:v>17170.085355967363</c:v>
                </c:pt>
                <c:pt idx="11">
                  <c:v>17174.28443827618</c:v>
                </c:pt>
                <c:pt idx="12">
                  <c:v>11261.057981671154</c:v>
                </c:pt>
                <c:pt idx="13">
                  <c:v>-77833.710999315881</c:v>
                </c:pt>
                <c:pt idx="14">
                  <c:v>-97793.418280313621</c:v>
                </c:pt>
                <c:pt idx="15">
                  <c:v>-115284.38306846855</c:v>
                </c:pt>
                <c:pt idx="16">
                  <c:v>-36950.591451592452</c:v>
                </c:pt>
                <c:pt idx="17">
                  <c:v>-121048.26344476793</c:v>
                </c:pt>
                <c:pt idx="18">
                  <c:v>-51365.065653512327</c:v>
                </c:pt>
                <c:pt idx="19">
                  <c:v>-25714.123445979705</c:v>
                </c:pt>
                <c:pt idx="20">
                  <c:v>21216.014877170943</c:v>
                </c:pt>
                <c:pt idx="21">
                  <c:v>-49905.21420657503</c:v>
                </c:pt>
                <c:pt idx="22">
                  <c:v>-53822.433810362774</c:v>
                </c:pt>
                <c:pt idx="23">
                  <c:v>-15936.281280794967</c:v>
                </c:pt>
                <c:pt idx="24">
                  <c:v>-348398.0952891683</c:v>
                </c:pt>
                <c:pt idx="25">
                  <c:v>-346746.01883995556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50-4AAB-BF71-35397810D457}"/>
            </c:ext>
          </c:extLst>
        </c:ser>
        <c:ser>
          <c:idx val="4"/>
          <c:order val="4"/>
          <c:tx>
            <c:strRef>
              <c:f>'Chart tables'!$B$173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'Chart tables'!$D$168:$AC$168</c:f>
              <c:strCache>
                <c:ptCount val="2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</c:strCache>
            </c:strRef>
          </c:cat>
          <c:val>
            <c:numRef>
              <c:f>'Chart tables'!$D$173:$AC$173</c:f>
              <c:numCache>
                <c:formatCode>#,##0</c:formatCode>
                <c:ptCount val="26"/>
                <c:pt idx="0">
                  <c:v>0</c:v>
                </c:pt>
                <c:pt idx="1">
                  <c:v>1739.6401294117497</c:v>
                </c:pt>
                <c:pt idx="2">
                  <c:v>4093.0289745588479</c:v>
                </c:pt>
                <c:pt idx="3">
                  <c:v>105594020.82575946</c:v>
                </c:pt>
                <c:pt idx="4">
                  <c:v>106017532.52839313</c:v>
                </c:pt>
                <c:pt idx="5">
                  <c:v>127135778.27187623</c:v>
                </c:pt>
                <c:pt idx="6">
                  <c:v>122130261.48853195</c:v>
                </c:pt>
                <c:pt idx="7">
                  <c:v>122374474.65793154</c:v>
                </c:pt>
                <c:pt idx="8">
                  <c:v>116028957.15872777</c:v>
                </c:pt>
                <c:pt idx="9">
                  <c:v>200676300.08077031</c:v>
                </c:pt>
                <c:pt idx="10">
                  <c:v>208195908.6510703</c:v>
                </c:pt>
                <c:pt idx="11">
                  <c:v>207632312.0138559</c:v>
                </c:pt>
                <c:pt idx="12">
                  <c:v>207224175.7137818</c:v>
                </c:pt>
                <c:pt idx="13">
                  <c:v>201154729.14721319</c:v>
                </c:pt>
                <c:pt idx="14">
                  <c:v>196932126.59381187</c:v>
                </c:pt>
                <c:pt idx="15">
                  <c:v>196521342.30447635</c:v>
                </c:pt>
                <c:pt idx="16">
                  <c:v>198953040.586032</c:v>
                </c:pt>
                <c:pt idx="17">
                  <c:v>241240573.93891555</c:v>
                </c:pt>
                <c:pt idx="18">
                  <c:v>173127759.32279587</c:v>
                </c:pt>
                <c:pt idx="19">
                  <c:v>183350228.86645493</c:v>
                </c:pt>
                <c:pt idx="20">
                  <c:v>180005046.60776889</c:v>
                </c:pt>
                <c:pt idx="21">
                  <c:v>189133401.92684937</c:v>
                </c:pt>
                <c:pt idx="22">
                  <c:v>173275915.06313285</c:v>
                </c:pt>
                <c:pt idx="23">
                  <c:v>169807090.04404208</c:v>
                </c:pt>
                <c:pt idx="24">
                  <c:v>174257146.23434666</c:v>
                </c:pt>
                <c:pt idx="25">
                  <c:v>175525485.31133181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E50-4AAB-BF71-35397810D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73224024"/>
        <c:axId val="673222056"/>
      </c:barChart>
      <c:catAx>
        <c:axId val="673224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t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222056"/>
        <c:crosses val="autoZero"/>
        <c:auto val="1"/>
        <c:lblAlgn val="ctr"/>
        <c:lblOffset val="100"/>
        <c:noMultiLvlLbl val="0"/>
      </c:catAx>
      <c:valAx>
        <c:axId val="673222056"/>
        <c:scaling>
          <c:orientation val="minMax"/>
          <c:max val="6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224024"/>
        <c:crosses val="autoZero"/>
        <c:crossBetween val="between"/>
        <c:dispUnits>
          <c:builtInUnit val="millions"/>
        </c:dispUnits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'Chart tables'!$B$176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tables'!$D$175:$AC$175</c15:sqref>
                  </c15:fullRef>
                </c:ext>
              </c:extLst>
              <c:f>'Chart tables'!$D$175:$AB$175</c:f>
              <c:strCache>
                <c:ptCount val="2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tables'!$D$176:$AC$176</c15:sqref>
                  </c15:fullRef>
                </c:ext>
              </c:extLst>
              <c:f>'Chart tables'!$D$176:$AB$176</c:f>
              <c:numCache>
                <c:formatCode>#,##0</c:formatCode>
                <c:ptCount val="25"/>
                <c:pt idx="0">
                  <c:v>0</c:v>
                </c:pt>
                <c:pt idx="1">
                  <c:v>-0.22288121641864184</c:v>
                </c:pt>
                <c:pt idx="2">
                  <c:v>-2672011.8718974455</c:v>
                </c:pt>
                <c:pt idx="3">
                  <c:v>-1773479.5201547458</c:v>
                </c:pt>
                <c:pt idx="4">
                  <c:v>-6473792.9101709835</c:v>
                </c:pt>
                <c:pt idx="5">
                  <c:v>-17660484.396929577</c:v>
                </c:pt>
                <c:pt idx="6">
                  <c:v>-17660482.469295029</c:v>
                </c:pt>
                <c:pt idx="7">
                  <c:v>-17660480.541769627</c:v>
                </c:pt>
                <c:pt idx="8">
                  <c:v>-17654273.653197907</c:v>
                </c:pt>
                <c:pt idx="9">
                  <c:v>-17654271.724705528</c:v>
                </c:pt>
                <c:pt idx="10">
                  <c:v>-17737698.073555242</c:v>
                </c:pt>
                <c:pt idx="11">
                  <c:v>-16218800.254884943</c:v>
                </c:pt>
                <c:pt idx="12">
                  <c:v>-16342819.480714647</c:v>
                </c:pt>
                <c:pt idx="13">
                  <c:v>-17451532.875385899</c:v>
                </c:pt>
                <c:pt idx="14">
                  <c:v>-18099722.190968622</c:v>
                </c:pt>
                <c:pt idx="15">
                  <c:v>-18083309.496435452</c:v>
                </c:pt>
                <c:pt idx="16">
                  <c:v>-21690200.508623406</c:v>
                </c:pt>
                <c:pt idx="17">
                  <c:v>-21690198.581203245</c:v>
                </c:pt>
                <c:pt idx="18">
                  <c:v>-21690196.65380713</c:v>
                </c:pt>
                <c:pt idx="19">
                  <c:v>-21957666.707075588</c:v>
                </c:pt>
                <c:pt idx="20">
                  <c:v>-23977185.920711111</c:v>
                </c:pt>
                <c:pt idx="21">
                  <c:v>-25333400.963956878</c:v>
                </c:pt>
                <c:pt idx="22">
                  <c:v>-33265487.23003288</c:v>
                </c:pt>
                <c:pt idx="23">
                  <c:v>-33549954.477094114</c:v>
                </c:pt>
                <c:pt idx="24">
                  <c:v>-32900354.408341315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AB-404C-9B2A-F237375CE7AD}"/>
            </c:ext>
          </c:extLst>
        </c:ser>
        <c:ser>
          <c:idx val="1"/>
          <c:order val="1"/>
          <c:tx>
            <c:strRef>
              <c:f>'Chart tables'!$B$177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tables'!$D$175:$AC$175</c15:sqref>
                  </c15:fullRef>
                </c:ext>
              </c:extLst>
              <c:f>'Chart tables'!$D$175:$AB$175</c:f>
              <c:strCache>
                <c:ptCount val="2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tables'!$D$177:$AC$177</c15:sqref>
                  </c15:fullRef>
                </c:ext>
              </c:extLst>
              <c:f>'Chart tables'!$D$177:$AB$177</c:f>
              <c:numCache>
                <c:formatCode>#,##0</c:formatCode>
                <c:ptCount val="25"/>
                <c:pt idx="0">
                  <c:v>0</c:v>
                </c:pt>
                <c:pt idx="1">
                  <c:v>23.857953341141659</c:v>
                </c:pt>
                <c:pt idx="2">
                  <c:v>24.714467366589631</c:v>
                </c:pt>
                <c:pt idx="3">
                  <c:v>-11833189.672794946</c:v>
                </c:pt>
                <c:pt idx="4">
                  <c:v>6710760.633247558</c:v>
                </c:pt>
                <c:pt idx="5">
                  <c:v>14263471.131490801</c:v>
                </c:pt>
                <c:pt idx="6">
                  <c:v>36161674.082373217</c:v>
                </c:pt>
                <c:pt idx="7">
                  <c:v>35505720.980478182</c:v>
                </c:pt>
                <c:pt idx="8">
                  <c:v>28742831.782175951</c:v>
                </c:pt>
                <c:pt idx="9">
                  <c:v>37301578.484830275</c:v>
                </c:pt>
                <c:pt idx="10">
                  <c:v>31546658.241960645</c:v>
                </c:pt>
                <c:pt idx="11">
                  <c:v>33378793.712929588</c:v>
                </c:pt>
                <c:pt idx="12">
                  <c:v>37755724.47371842</c:v>
                </c:pt>
                <c:pt idx="13">
                  <c:v>43355455.415096134</c:v>
                </c:pt>
                <c:pt idx="14">
                  <c:v>39356517.565674834</c:v>
                </c:pt>
                <c:pt idx="15">
                  <c:v>39356531.484860338</c:v>
                </c:pt>
                <c:pt idx="16">
                  <c:v>34634584.237063065</c:v>
                </c:pt>
                <c:pt idx="17">
                  <c:v>30119368.750977341</c:v>
                </c:pt>
                <c:pt idx="18">
                  <c:v>28499274.542492509</c:v>
                </c:pt>
                <c:pt idx="19">
                  <c:v>25923258.389081258</c:v>
                </c:pt>
                <c:pt idx="20">
                  <c:v>31060796.60508693</c:v>
                </c:pt>
                <c:pt idx="21">
                  <c:v>34560336.235871561</c:v>
                </c:pt>
                <c:pt idx="22">
                  <c:v>30718023.737664543</c:v>
                </c:pt>
                <c:pt idx="23">
                  <c:v>30718023.737664543</c:v>
                </c:pt>
                <c:pt idx="24">
                  <c:v>38554739.579822987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AB-404C-9B2A-F237375CE7AD}"/>
            </c:ext>
          </c:extLst>
        </c:ser>
        <c:ser>
          <c:idx val="2"/>
          <c:order val="2"/>
          <c:tx>
            <c:strRef>
              <c:f>'Chart tables'!$B$178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tables'!$D$175:$AC$175</c15:sqref>
                  </c15:fullRef>
                </c:ext>
              </c:extLst>
              <c:f>'Chart tables'!$D$175:$AB$175</c:f>
              <c:strCache>
                <c:ptCount val="2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tables'!$D$178:$AC$178</c15:sqref>
                  </c15:fullRef>
                </c:ext>
              </c:extLst>
              <c:f>'Chart tables'!$D$178:$AB$178</c:f>
              <c:numCache>
                <c:formatCode>#,##0</c:formatCode>
                <c:ptCount val="25"/>
                <c:pt idx="0">
                  <c:v>0</c:v>
                </c:pt>
                <c:pt idx="1">
                  <c:v>9.3854214359387917</c:v>
                </c:pt>
                <c:pt idx="2">
                  <c:v>-70094.484113647908</c:v>
                </c:pt>
                <c:pt idx="3">
                  <c:v>6818457.0672221985</c:v>
                </c:pt>
                <c:pt idx="4">
                  <c:v>4769619.1072158907</c:v>
                </c:pt>
                <c:pt idx="5">
                  <c:v>1109600.3890075102</c:v>
                </c:pt>
                <c:pt idx="6">
                  <c:v>1194755.9943301503</c:v>
                </c:pt>
                <c:pt idx="7">
                  <c:v>2509565.6988804657</c:v>
                </c:pt>
                <c:pt idx="8">
                  <c:v>968023.46727506747</c:v>
                </c:pt>
                <c:pt idx="9">
                  <c:v>2734453.22061576</c:v>
                </c:pt>
                <c:pt idx="10">
                  <c:v>4164509.0719556306</c:v>
                </c:pt>
                <c:pt idx="11">
                  <c:v>8059689.9630096257</c:v>
                </c:pt>
                <c:pt idx="12">
                  <c:v>12504886.117694151</c:v>
                </c:pt>
                <c:pt idx="13">
                  <c:v>15075358.647157047</c:v>
                </c:pt>
                <c:pt idx="14">
                  <c:v>20369862.21761927</c:v>
                </c:pt>
                <c:pt idx="15">
                  <c:v>19510187.902907502</c:v>
                </c:pt>
                <c:pt idx="16">
                  <c:v>20179792.245726384</c:v>
                </c:pt>
                <c:pt idx="17">
                  <c:v>24419914.256742649</c:v>
                </c:pt>
                <c:pt idx="18">
                  <c:v>29695864.400609318</c:v>
                </c:pt>
                <c:pt idx="19">
                  <c:v>36008375.086674578</c:v>
                </c:pt>
                <c:pt idx="20">
                  <c:v>48106274.367288411</c:v>
                </c:pt>
                <c:pt idx="21">
                  <c:v>60373231.533495687</c:v>
                </c:pt>
                <c:pt idx="22">
                  <c:v>71969916.653860793</c:v>
                </c:pt>
                <c:pt idx="23">
                  <c:v>77915694.185216427</c:v>
                </c:pt>
                <c:pt idx="24">
                  <c:v>92214978.419002324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AB-404C-9B2A-F237375CE7AD}"/>
            </c:ext>
          </c:extLst>
        </c:ser>
        <c:ser>
          <c:idx val="3"/>
          <c:order val="3"/>
          <c:tx>
            <c:strRef>
              <c:f>'Chart tables'!$B$179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tables'!$D$175:$AC$175</c15:sqref>
                  </c15:fullRef>
                </c:ext>
              </c:extLst>
              <c:f>'Chart tables'!$D$175:$AB$175</c:f>
              <c:strCache>
                <c:ptCount val="2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tables'!$D$179:$AC$179</c15:sqref>
                  </c15:fullRef>
                </c:ext>
              </c:extLst>
              <c:f>'Chart tables'!$D$179:$AB$179</c:f>
              <c:numCache>
                <c:formatCode>#,##0</c:formatCode>
                <c:ptCount val="25"/>
                <c:pt idx="0">
                  <c:v>0</c:v>
                </c:pt>
                <c:pt idx="1">
                  <c:v>2.1321453873355671</c:v>
                </c:pt>
                <c:pt idx="2">
                  <c:v>4.2069196635909787</c:v>
                </c:pt>
                <c:pt idx="3">
                  <c:v>2941.6144593217782</c:v>
                </c:pt>
                <c:pt idx="4">
                  <c:v>-22649.854406439161</c:v>
                </c:pt>
                <c:pt idx="5">
                  <c:v>-119957.92135427966</c:v>
                </c:pt>
                <c:pt idx="6">
                  <c:v>-119955.74135698214</c:v>
                </c:pt>
                <c:pt idx="7">
                  <c:v>-220333.84319426189</c:v>
                </c:pt>
                <c:pt idx="8">
                  <c:v>-223020.23928770932</c:v>
                </c:pt>
                <c:pt idx="9">
                  <c:v>-220130.04222834366</c:v>
                </c:pt>
                <c:pt idx="10">
                  <c:v>-218504.8174152392</c:v>
                </c:pt>
                <c:pt idx="11">
                  <c:v>33617.745435876714</c:v>
                </c:pt>
                <c:pt idx="12">
                  <c:v>430311.09880629292</c:v>
                </c:pt>
                <c:pt idx="13">
                  <c:v>550591.96406592929</c:v>
                </c:pt>
                <c:pt idx="14">
                  <c:v>717559.52571179881</c:v>
                </c:pt>
                <c:pt idx="15">
                  <c:v>809149.06300226261</c:v>
                </c:pt>
                <c:pt idx="16">
                  <c:v>912616.60178502474</c:v>
                </c:pt>
                <c:pt idx="17">
                  <c:v>981504.19231410022</c:v>
                </c:pt>
                <c:pt idx="18">
                  <c:v>942361.4670599692</c:v>
                </c:pt>
                <c:pt idx="19">
                  <c:v>967905.31961619365</c:v>
                </c:pt>
                <c:pt idx="20">
                  <c:v>345150.60690775595</c:v>
                </c:pt>
                <c:pt idx="21">
                  <c:v>255983.30902271968</c:v>
                </c:pt>
                <c:pt idx="22">
                  <c:v>42412.276164070325</c:v>
                </c:pt>
                <c:pt idx="23">
                  <c:v>-181269.65655528803</c:v>
                </c:pt>
                <c:pt idx="24">
                  <c:v>-910654.30295342056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AB-404C-9B2A-F237375CE7AD}"/>
            </c:ext>
          </c:extLst>
        </c:ser>
        <c:ser>
          <c:idx val="4"/>
          <c:order val="4"/>
          <c:tx>
            <c:strRef>
              <c:f>'Chart tables'!$B$180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tables'!$D$175:$AC$175</c15:sqref>
                  </c15:fullRef>
                </c:ext>
              </c:extLst>
              <c:f>'Chart tables'!$D$175:$AB$175</c:f>
              <c:strCache>
                <c:ptCount val="25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tables'!$D$180:$AC$180</c15:sqref>
                  </c15:fullRef>
                </c:ext>
              </c:extLst>
              <c:f>'Chart tables'!$D$180:$AB$180</c:f>
              <c:numCache>
                <c:formatCode>#,##0</c:formatCode>
                <c:ptCount val="25"/>
                <c:pt idx="0">
                  <c:v>0</c:v>
                </c:pt>
                <c:pt idx="1">
                  <c:v>811.46829673093487</c:v>
                </c:pt>
                <c:pt idx="2">
                  <c:v>30223991.012976091</c:v>
                </c:pt>
                <c:pt idx="3">
                  <c:v>164852251.48227745</c:v>
                </c:pt>
                <c:pt idx="4">
                  <c:v>309157858.94673038</c:v>
                </c:pt>
                <c:pt idx="5">
                  <c:v>270584833.54068857</c:v>
                </c:pt>
                <c:pt idx="6">
                  <c:v>225359766.70916167</c:v>
                </c:pt>
                <c:pt idx="7">
                  <c:v>202411863.22472614</c:v>
                </c:pt>
                <c:pt idx="8">
                  <c:v>237356180.13779691</c:v>
                </c:pt>
                <c:pt idx="9">
                  <c:v>197390921.80125681</c:v>
                </c:pt>
                <c:pt idx="10">
                  <c:v>178477124.64329365</c:v>
                </c:pt>
                <c:pt idx="11">
                  <c:v>130598447.34315842</c:v>
                </c:pt>
                <c:pt idx="12">
                  <c:v>218240666.33103579</c:v>
                </c:pt>
                <c:pt idx="13">
                  <c:v>233312821.47036237</c:v>
                </c:pt>
                <c:pt idx="14">
                  <c:v>214341553.46704271</c:v>
                </c:pt>
                <c:pt idx="15">
                  <c:v>251117693.64376613</c:v>
                </c:pt>
                <c:pt idx="16">
                  <c:v>316888768.94708771</c:v>
                </c:pt>
                <c:pt idx="17">
                  <c:v>278462178.24694788</c:v>
                </c:pt>
                <c:pt idx="18">
                  <c:v>272745004.7957266</c:v>
                </c:pt>
                <c:pt idx="19">
                  <c:v>259783789.63755658</c:v>
                </c:pt>
                <c:pt idx="20">
                  <c:v>311552858.55869609</c:v>
                </c:pt>
                <c:pt idx="21">
                  <c:v>317089391.34066176</c:v>
                </c:pt>
                <c:pt idx="22">
                  <c:v>356618051.17980206</c:v>
                </c:pt>
                <c:pt idx="23">
                  <c:v>352964553.67403787</c:v>
                </c:pt>
                <c:pt idx="24">
                  <c:v>345653862.70973283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EAB-404C-9B2A-F237375CE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73224024"/>
        <c:axId val="673222056"/>
      </c:barChart>
      <c:catAx>
        <c:axId val="673224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t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222056"/>
        <c:crosses val="autoZero"/>
        <c:auto val="1"/>
        <c:lblAlgn val="ctr"/>
        <c:lblOffset val="100"/>
        <c:noMultiLvlLbl val="0"/>
      </c:catAx>
      <c:valAx>
        <c:axId val="6732220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224024"/>
        <c:crosses val="autoZero"/>
        <c:crossBetween val="between"/>
        <c:dispUnits>
          <c:builtInUnit val="millions"/>
        </c:dispUnits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7B1-4023-8B52-F205DEB7A42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C340-4FE7-A3D1-F4D96C7F01D0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'Chart tables'!$D$12:$R$13</c15:sqref>
                  </c15:fullRef>
                </c:ext>
              </c:extLst>
              <c:f>'Chart tables'!$D$12:$R$13</c:f>
              <c:multiLvlStrCache>
                <c:ptCount val="4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</c:lvl>
                <c:lvl>
                  <c:pt idx="0">
                    <c:v>Options for incremental upgrades to increase transfer capacity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tables'!$D$17:$R$17</c15:sqref>
                  </c15:fullRef>
                </c:ext>
              </c:extLst>
              <c:f>'Chart tables'!$D$17:$G$17</c:f>
              <c:numCache>
                <c:formatCode>#,##0</c:formatCode>
                <c:ptCount val="4"/>
                <c:pt idx="0">
                  <c:v>266386181.55310804</c:v>
                </c:pt>
                <c:pt idx="1">
                  <c:v>267785321.17315042</c:v>
                </c:pt>
                <c:pt idx="2">
                  <c:v>-61224085.872352861</c:v>
                </c:pt>
                <c:pt idx="3">
                  <c:v>15309824.596625466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'Chart tables'!$J$17</c15:sqref>
                  <c15:invertIfNegative val="0"/>
                  <c15:bubble3D val="0"/>
                </c15:categoryFilterException>
                <c15:categoryFilterException>
                  <c15:sqref>'Chart tables'!$K$17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'Chart tables'!$L$17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'Chart tables'!$M$17</c15:sqref>
                  <c15:spPr xmlns:c15="http://schemas.microsoft.com/office/drawing/2012/chart">
                    <a:solidFill>
                      <a:schemeClr val="accent2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6-77B1-4023-8B52-F205DEB7A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9031568"/>
        <c:axId val="509029272"/>
      </c:barChart>
      <c:catAx>
        <c:axId val="50903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29272"/>
        <c:crosses val="autoZero"/>
        <c:auto val="1"/>
        <c:lblAlgn val="ctr"/>
        <c:lblOffset val="100"/>
        <c:noMultiLvlLbl val="0"/>
      </c:catAx>
      <c:valAx>
        <c:axId val="50902927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3156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rgbClr val="788FA6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49667</xdr:colOff>
      <xdr:row>9</xdr:row>
      <xdr:rowOff>4765</xdr:rowOff>
    </xdr:from>
    <xdr:to>
      <xdr:col>7</xdr:col>
      <xdr:colOff>8788</xdr:colOff>
      <xdr:row>20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667" y="1804990"/>
          <a:ext cx="4902596" cy="3019423"/>
        </a:xfrm>
        <a:prstGeom prst="rect">
          <a:avLst/>
        </a:prstGeom>
        <a:ln w="222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</xdr:colOff>
      <xdr:row>1</xdr:row>
      <xdr:rowOff>190500</xdr:rowOff>
    </xdr:from>
    <xdr:to>
      <xdr:col>3</xdr:col>
      <xdr:colOff>819151</xdr:colOff>
      <xdr:row>5</xdr:row>
      <xdr:rowOff>164482</xdr:rowOff>
    </xdr:to>
    <xdr:pic>
      <xdr:nvPicPr>
        <xdr:cNvPr id="7" name="Picture 6" descr="http://www.demandresponse.com.au/wp-content/uploads/sites/18/2015/04/TransGrid-logo-1024x315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1" y="390525"/>
          <a:ext cx="2343150" cy="770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9</xdr:col>
      <xdr:colOff>335338</xdr:colOff>
      <xdr:row>6</xdr:row>
      <xdr:rowOff>30162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2251" t="34056" r="23117" b="36360"/>
        <a:stretch/>
      </xdr:blipFill>
      <xdr:spPr>
        <a:xfrm>
          <a:off x="4143375" y="200025"/>
          <a:ext cx="2735638" cy="10302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3173</xdr:colOff>
      <xdr:row>19</xdr:row>
      <xdr:rowOff>0</xdr:rowOff>
    </xdr:from>
    <xdr:to>
      <xdr:col>17</xdr:col>
      <xdr:colOff>282398</xdr:colOff>
      <xdr:row>35</xdr:row>
      <xdr:rowOff>97905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19</xdr:row>
      <xdr:rowOff>0</xdr:rowOff>
    </xdr:from>
    <xdr:to>
      <xdr:col>26</xdr:col>
      <xdr:colOff>279225</xdr:colOff>
      <xdr:row>35</xdr:row>
      <xdr:rowOff>94730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37</xdr:col>
      <xdr:colOff>0</xdr:colOff>
      <xdr:row>19</xdr:row>
      <xdr:rowOff>8731</xdr:rowOff>
    </xdr:from>
    <xdr:to>
      <xdr:col>44</xdr:col>
      <xdr:colOff>279225</xdr:colOff>
      <xdr:row>35</xdr:row>
      <xdr:rowOff>97906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3173</xdr:colOff>
      <xdr:row>21</xdr:row>
      <xdr:rowOff>9525</xdr:rowOff>
    </xdr:from>
    <xdr:to>
      <xdr:col>8</xdr:col>
      <xdr:colOff>276048</xdr:colOff>
      <xdr:row>35</xdr:row>
      <xdr:rowOff>92350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3173</xdr:colOff>
      <xdr:row>57</xdr:row>
      <xdr:rowOff>6543</xdr:rowOff>
    </xdr:from>
    <xdr:to>
      <xdr:col>8</xdr:col>
      <xdr:colOff>282398</xdr:colOff>
      <xdr:row>71</xdr:row>
      <xdr:rowOff>104193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3173</xdr:colOff>
      <xdr:row>57</xdr:row>
      <xdr:rowOff>6543</xdr:rowOff>
    </xdr:from>
    <xdr:to>
      <xdr:col>17</xdr:col>
      <xdr:colOff>282398</xdr:colOff>
      <xdr:row>71</xdr:row>
      <xdr:rowOff>104193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0</xdr:colOff>
      <xdr:row>57</xdr:row>
      <xdr:rowOff>9718</xdr:rowOff>
    </xdr:from>
    <xdr:to>
      <xdr:col>26</xdr:col>
      <xdr:colOff>276050</xdr:colOff>
      <xdr:row>71</xdr:row>
      <xdr:rowOff>107368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25400</xdr:colOff>
      <xdr:row>57</xdr:row>
      <xdr:rowOff>6543</xdr:rowOff>
    </xdr:from>
    <xdr:to>
      <xdr:col>35</xdr:col>
      <xdr:colOff>307800</xdr:colOff>
      <xdr:row>71</xdr:row>
      <xdr:rowOff>104193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3173</xdr:colOff>
      <xdr:row>19</xdr:row>
      <xdr:rowOff>0</xdr:rowOff>
    </xdr:from>
    <xdr:to>
      <xdr:col>35</xdr:col>
      <xdr:colOff>282398</xdr:colOff>
      <xdr:row>35</xdr:row>
      <xdr:rowOff>94731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3173</xdr:colOff>
      <xdr:row>39</xdr:row>
      <xdr:rowOff>9525</xdr:rowOff>
    </xdr:from>
    <xdr:to>
      <xdr:col>8</xdr:col>
      <xdr:colOff>282398</xdr:colOff>
      <xdr:row>55</xdr:row>
      <xdr:rowOff>49125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3173</xdr:colOff>
      <xdr:row>39</xdr:row>
      <xdr:rowOff>9525</xdr:rowOff>
    </xdr:from>
    <xdr:to>
      <xdr:col>17</xdr:col>
      <xdr:colOff>282398</xdr:colOff>
      <xdr:row>55</xdr:row>
      <xdr:rowOff>49125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19</xdr:col>
      <xdr:colOff>3173</xdr:colOff>
      <xdr:row>39</xdr:row>
      <xdr:rowOff>0</xdr:rowOff>
    </xdr:from>
    <xdr:to>
      <xdr:col>26</xdr:col>
      <xdr:colOff>282398</xdr:colOff>
      <xdr:row>55</xdr:row>
      <xdr:rowOff>39600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28</xdr:col>
      <xdr:colOff>3174</xdr:colOff>
      <xdr:row>39</xdr:row>
      <xdr:rowOff>9525</xdr:rowOff>
    </xdr:from>
    <xdr:to>
      <xdr:col>35</xdr:col>
      <xdr:colOff>279224</xdr:colOff>
      <xdr:row>55</xdr:row>
      <xdr:rowOff>49125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37</xdr:col>
      <xdr:colOff>3174</xdr:colOff>
      <xdr:row>39</xdr:row>
      <xdr:rowOff>9525</xdr:rowOff>
    </xdr:from>
    <xdr:to>
      <xdr:col>41</xdr:col>
      <xdr:colOff>56699</xdr:colOff>
      <xdr:row>53</xdr:row>
      <xdr:rowOff>92350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37</xdr:col>
      <xdr:colOff>1</xdr:colOff>
      <xdr:row>53</xdr:row>
      <xdr:rowOff>84669</xdr:rowOff>
    </xdr:from>
    <xdr:to>
      <xdr:col>41</xdr:col>
      <xdr:colOff>57535</xdr:colOff>
      <xdr:row>67</xdr:row>
      <xdr:rowOff>174702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41</xdr:col>
      <xdr:colOff>56355</xdr:colOff>
      <xdr:row>39</xdr:row>
      <xdr:rowOff>8731</xdr:rowOff>
    </xdr:from>
    <xdr:to>
      <xdr:col>45</xdr:col>
      <xdr:colOff>113055</xdr:colOff>
      <xdr:row>53</xdr:row>
      <xdr:rowOff>94732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B3615209-2D54-4E2D-AF29-394C396473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41</xdr:col>
      <xdr:colOff>56355</xdr:colOff>
      <xdr:row>53</xdr:row>
      <xdr:rowOff>96047</xdr:rowOff>
    </xdr:from>
    <xdr:to>
      <xdr:col>45</xdr:col>
      <xdr:colOff>125755</xdr:colOff>
      <xdr:row>67</xdr:row>
      <xdr:rowOff>156646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77E64289-75DE-4408-A3BE-48C9AED5F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ransgrid/QNI%20Modeling%20inputs/InputPopulator%202019_12_06a%20-%20I2%20INPUTS%20SHEET_QNI%20RIT-T%20PADR%20NPV%20model%20-%20Additional%20options%20for%20PACR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I2 CBA Inputs"/>
      <sheetName val="Check - for EY purpose only"/>
      <sheetName val="Unit nameplate capacity"/>
      <sheetName val="Unit to Tech"/>
      <sheetName val="FullNPV"/>
      <sheetName val="EYNPVSummay"/>
      <sheetName val="1_NPVall"/>
      <sheetName val="2_NPVall"/>
      <sheetName val="3_NPVall"/>
      <sheetName val="4_NPVall"/>
      <sheetName val="5_NPVall"/>
      <sheetName val="6_NPVall"/>
      <sheetName val="7_NPVall"/>
      <sheetName val="8_NPVall"/>
      <sheetName val="9_NPVall"/>
      <sheetName val="10_NPVall"/>
      <sheetName val="11_NPVall"/>
      <sheetName val="12_NPVall"/>
    </sheetNames>
    <sheetDataSet>
      <sheetData sheetId="0">
        <row r="47">
          <cell r="B47">
            <v>2021</v>
          </cell>
        </row>
        <row r="49">
          <cell r="B49">
            <v>5.8999999999999997E-2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Custom 2">
      <a:dk1>
        <a:srgbClr val="425364"/>
      </a:dk1>
      <a:lt1>
        <a:sysClr val="window" lastClr="FFFFFF"/>
      </a:lt1>
      <a:dk2>
        <a:srgbClr val="002395"/>
      </a:dk2>
      <a:lt2>
        <a:srgbClr val="E0E1F1"/>
      </a:lt2>
      <a:accent1>
        <a:srgbClr val="00AB91"/>
      </a:accent1>
      <a:accent2>
        <a:srgbClr val="002395"/>
      </a:accent2>
      <a:accent3>
        <a:srgbClr val="77216F"/>
      </a:accent3>
      <a:accent4>
        <a:srgbClr val="F47721"/>
      </a:accent4>
      <a:accent5>
        <a:srgbClr val="CB1334"/>
      </a:accent5>
      <a:accent6>
        <a:srgbClr val="212F63"/>
      </a:accent6>
      <a:hlink>
        <a:srgbClr val="002395"/>
      </a:hlink>
      <a:folHlink>
        <a:srgbClr val="77216F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 tint="4.9989318521683403E-2"/>
  </sheetPr>
  <dimension ref="B6:K41"/>
  <sheetViews>
    <sheetView showGridLines="0" zoomScale="80" zoomScaleNormal="80" workbookViewId="0">
      <selection activeCell="I20" sqref="I20"/>
    </sheetView>
  </sheetViews>
  <sheetFormatPr defaultRowHeight="15.5" x14ac:dyDescent="0.35"/>
  <cols>
    <col min="4" max="4" width="13.23046875" bestFit="1" customWidth="1"/>
    <col min="8" max="8" width="1.84375" customWidth="1"/>
    <col min="9" max="9" width="8.765625" customWidth="1"/>
    <col min="11" max="11" width="27.61328125" customWidth="1"/>
  </cols>
  <sheetData>
    <row r="6" spans="2:11" x14ac:dyDescent="0.35">
      <c r="B6" s="4"/>
      <c r="C6" s="4"/>
      <c r="D6" s="4"/>
      <c r="E6" s="4"/>
      <c r="F6" s="4"/>
      <c r="G6" s="4"/>
      <c r="H6" s="4"/>
      <c r="I6" s="4"/>
    </row>
    <row r="7" spans="2:11" x14ac:dyDescent="0.35">
      <c r="B7" s="4"/>
      <c r="C7" s="4"/>
      <c r="D7" s="4"/>
      <c r="E7" s="4"/>
      <c r="F7" s="4"/>
      <c r="G7" s="4"/>
      <c r="H7" s="4"/>
      <c r="I7" s="4"/>
    </row>
    <row r="8" spans="2:11" ht="21.5" x14ac:dyDescent="0.45">
      <c r="B8" s="33" t="s">
        <v>142</v>
      </c>
      <c r="C8" s="4"/>
      <c r="D8" s="4"/>
      <c r="E8" s="4"/>
      <c r="F8" s="4"/>
      <c r="G8" s="4"/>
      <c r="H8" s="4"/>
      <c r="I8" s="4"/>
    </row>
    <row r="9" spans="2:11" ht="16" thickBot="1" x14ac:dyDescent="0.4">
      <c r="B9" s="32"/>
      <c r="C9" s="4"/>
      <c r="D9" s="4"/>
      <c r="E9" s="4"/>
      <c r="F9" s="4"/>
      <c r="G9" s="4"/>
      <c r="H9" s="4"/>
      <c r="I9" s="4"/>
    </row>
    <row r="10" spans="2:11" x14ac:dyDescent="0.35">
      <c r="I10" s="40" t="s">
        <v>62</v>
      </c>
      <c r="J10" s="41"/>
      <c r="K10" s="147">
        <v>43817</v>
      </c>
    </row>
    <row r="11" spans="2:11" x14ac:dyDescent="0.35">
      <c r="I11" s="39" t="s">
        <v>63</v>
      </c>
      <c r="J11" s="42"/>
      <c r="K11" s="148" t="s">
        <v>115</v>
      </c>
    </row>
    <row r="12" spans="2:11" ht="86.25" customHeight="1" x14ac:dyDescent="0.35">
      <c r="I12" s="55" t="s">
        <v>64</v>
      </c>
      <c r="J12" s="42"/>
      <c r="K12" s="149"/>
    </row>
    <row r="13" spans="2:11" ht="16" thickBot="1" x14ac:dyDescent="0.4">
      <c r="I13" s="37" t="s">
        <v>66</v>
      </c>
      <c r="J13" s="38"/>
      <c r="K13" s="150" t="s">
        <v>65</v>
      </c>
    </row>
    <row r="14" spans="2:11" ht="16" thickBot="1" x14ac:dyDescent="0.4"/>
    <row r="15" spans="2:11" x14ac:dyDescent="0.35">
      <c r="I15" s="34" t="s">
        <v>67</v>
      </c>
      <c r="J15" s="35"/>
      <c r="K15" s="36"/>
    </row>
    <row r="16" spans="2:11" ht="15.75" customHeight="1" x14ac:dyDescent="0.35">
      <c r="I16" s="43" t="s">
        <v>4</v>
      </c>
      <c r="J16" s="44"/>
      <c r="K16" s="45"/>
    </row>
    <row r="17" spans="9:11" x14ac:dyDescent="0.35">
      <c r="I17" s="46" t="s">
        <v>1</v>
      </c>
      <c r="J17" s="47"/>
      <c r="K17" s="45"/>
    </row>
    <row r="18" spans="9:11" x14ac:dyDescent="0.35">
      <c r="I18" s="48" t="s">
        <v>0</v>
      </c>
      <c r="J18" s="49"/>
      <c r="K18" s="45"/>
    </row>
    <row r="19" spans="9:11" x14ac:dyDescent="0.35">
      <c r="I19" s="50" t="s">
        <v>2</v>
      </c>
      <c r="J19" s="51"/>
      <c r="K19" s="45"/>
    </row>
    <row r="20" spans="9:11" ht="16" thickBot="1" x14ac:dyDescent="0.4">
      <c r="I20" s="52" t="s">
        <v>3</v>
      </c>
      <c r="J20" s="53"/>
      <c r="K20" s="54"/>
    </row>
    <row r="27" spans="9:11" ht="30" customHeight="1" x14ac:dyDescent="0.35"/>
    <row r="31" spans="9:11" ht="1.5" customHeight="1" x14ac:dyDescent="0.35"/>
    <row r="34" spans="11:11" ht="46.5" customHeight="1" x14ac:dyDescent="0.35"/>
    <row r="38" spans="11:11" ht="30.4" customHeight="1" x14ac:dyDescent="0.35"/>
    <row r="40" spans="11:11" x14ac:dyDescent="0.35">
      <c r="K40" s="1"/>
    </row>
    <row r="41" spans="11:11" x14ac:dyDescent="0.35">
      <c r="K41" s="1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tabColor theme="3"/>
  </sheetPr>
  <dimension ref="A1:BD95"/>
  <sheetViews>
    <sheetView showGridLines="0" zoomScale="80" zoomScaleNormal="80" workbookViewId="0">
      <selection activeCell="D8" sqref="D8"/>
    </sheetView>
  </sheetViews>
  <sheetFormatPr defaultRowHeight="15.5" x14ac:dyDescent="0.35"/>
  <cols>
    <col min="1" max="1" width="5.69140625" style="86" customWidth="1"/>
    <col min="2" max="6" width="10.69140625" customWidth="1"/>
    <col min="7" max="7" width="10.69140625" style="15" customWidth="1"/>
    <col min="8" max="8" width="10.69140625" customWidth="1"/>
    <col min="9" max="9" width="12.765625" bestFit="1" customWidth="1"/>
    <col min="10" max="12" width="12.23046875" customWidth="1"/>
    <col min="13" max="54" width="10.69140625" customWidth="1"/>
  </cols>
  <sheetData>
    <row r="1" spans="1:30" ht="18" x14ac:dyDescent="0.4">
      <c r="B1" s="92" t="str">
        <f ca="1">MID(CELL("filename",B2),FIND("]",CELL("filename",B2))+1,256)</f>
        <v>Interface and charts</v>
      </c>
    </row>
    <row r="2" spans="1:30" x14ac:dyDescent="0.35">
      <c r="B2" s="93" t="s">
        <v>72</v>
      </c>
    </row>
    <row r="3" spans="1:30" x14ac:dyDescent="0.35">
      <c r="F3" s="15"/>
    </row>
    <row r="4" spans="1:30" ht="21" x14ac:dyDescent="0.5">
      <c r="B4" s="6" t="s">
        <v>68</v>
      </c>
      <c r="C4" s="6"/>
      <c r="D4" s="6"/>
      <c r="E4" s="6"/>
      <c r="F4" s="6"/>
      <c r="G4" s="19"/>
      <c r="H4" s="19"/>
      <c r="I4" s="19"/>
      <c r="J4" s="19"/>
      <c r="K4" s="19"/>
      <c r="L4" s="19"/>
    </row>
    <row r="5" spans="1:30" x14ac:dyDescent="0.35">
      <c r="H5" s="15"/>
    </row>
    <row r="6" spans="1:30" s="96" customFormat="1" ht="46.5" x14ac:dyDescent="0.35">
      <c r="A6" s="94"/>
      <c r="B6" s="95" t="s">
        <v>73</v>
      </c>
      <c r="C6" s="95"/>
      <c r="D6" s="95"/>
      <c r="G6" s="97"/>
      <c r="H6" s="98" t="s">
        <v>74</v>
      </c>
      <c r="I6" s="98" t="s">
        <v>93</v>
      </c>
      <c r="J6" s="98" t="s">
        <v>140</v>
      </c>
      <c r="K6" s="98" t="s">
        <v>86</v>
      </c>
      <c r="L6" s="98" t="s">
        <v>87</v>
      </c>
    </row>
    <row r="7" spans="1:30" x14ac:dyDescent="0.35">
      <c r="B7" s="7" t="s">
        <v>76</v>
      </c>
      <c r="C7" s="7"/>
      <c r="D7" s="8"/>
      <c r="H7" s="7"/>
      <c r="I7" s="8" t="str">
        <f>I11</f>
        <v>Scenario 1</v>
      </c>
      <c r="J7" s="8" t="str">
        <f>J11</f>
        <v>Scenario 2</v>
      </c>
      <c r="K7" s="8" t="str">
        <f>K11</f>
        <v>Scenario 3</v>
      </c>
      <c r="L7" s="8" t="str">
        <f>L11</f>
        <v>Scenario 4</v>
      </c>
      <c r="M7" s="91"/>
    </row>
    <row r="8" spans="1:30" x14ac:dyDescent="0.35">
      <c r="B8" s="2" t="s">
        <v>45</v>
      </c>
      <c r="C8" s="2"/>
      <c r="D8" s="84" t="s">
        <v>77</v>
      </c>
      <c r="H8" s="2" t="s">
        <v>75</v>
      </c>
      <c r="I8" s="90">
        <f>1/4</f>
        <v>0.25</v>
      </c>
      <c r="J8" s="90">
        <f>I8</f>
        <v>0.25</v>
      </c>
      <c r="K8" s="90">
        <f t="shared" ref="K8:L8" si="0">J8</f>
        <v>0.25</v>
      </c>
      <c r="L8" s="90">
        <f t="shared" si="0"/>
        <v>0.25</v>
      </c>
    </row>
    <row r="9" spans="1:30" x14ac:dyDescent="0.35">
      <c r="H9" s="15"/>
    </row>
    <row r="10" spans="1:30" s="96" customFormat="1" ht="46.5" hidden="1" x14ac:dyDescent="0.35">
      <c r="A10" s="100"/>
      <c r="B10" s="99" t="s">
        <v>88</v>
      </c>
      <c r="C10" s="99"/>
      <c r="D10" s="99"/>
      <c r="E10" s="99"/>
      <c r="F10" s="99"/>
      <c r="G10" s="99"/>
      <c r="H10" s="99"/>
      <c r="I10" s="98" t="s">
        <v>93</v>
      </c>
      <c r="J10" s="98" t="str">
        <f>J6</f>
        <v>Neutral + low emissions</v>
      </c>
      <c r="K10" s="98" t="s">
        <v>86</v>
      </c>
      <c r="L10" s="98" t="s">
        <v>87</v>
      </c>
    </row>
    <row r="11" spans="1:30" hidden="1" x14ac:dyDescent="0.35">
      <c r="A11" s="75"/>
      <c r="B11" s="169" t="s">
        <v>49</v>
      </c>
      <c r="C11" s="169"/>
      <c r="D11" s="169"/>
      <c r="E11" s="169"/>
      <c r="F11" s="8" t="s">
        <v>7</v>
      </c>
      <c r="G11" s="13" t="s">
        <v>8</v>
      </c>
      <c r="H11" s="8" t="s">
        <v>69</v>
      </c>
      <c r="I11" s="8" t="s">
        <v>77</v>
      </c>
      <c r="J11" s="8" t="s">
        <v>78</v>
      </c>
      <c r="K11" s="8" t="s">
        <v>79</v>
      </c>
      <c r="L11" s="8" t="s">
        <v>85</v>
      </c>
      <c r="M11" s="91"/>
    </row>
    <row r="12" spans="1:30" hidden="1" x14ac:dyDescent="0.35">
      <c r="A12" s="75"/>
      <c r="B12" s="2" t="str">
        <f>+'CBA Inputs'!B8</f>
        <v>Commercial discount rate</v>
      </c>
      <c r="C12" s="2"/>
      <c r="D12" s="2"/>
      <c r="E12" s="2"/>
      <c r="F12" s="12" t="s">
        <v>55</v>
      </c>
      <c r="G12" s="20">
        <f>'CBA Inputs'!J8</f>
        <v>5.8999999999999997E-2</v>
      </c>
      <c r="H12" s="87" t="str">
        <f t="shared" ref="H12:H14" si="1">INDEX($I12:$L12,1,MATCH($D$8,$I$11:$L$11,0))</f>
        <v>Base</v>
      </c>
      <c r="I12" s="57" t="s">
        <v>60</v>
      </c>
      <c r="J12" s="57" t="s">
        <v>60</v>
      </c>
      <c r="K12" s="57" t="s">
        <v>60</v>
      </c>
      <c r="L12" s="57" t="s">
        <v>60</v>
      </c>
      <c r="M12" s="85"/>
      <c r="Q12" s="74"/>
    </row>
    <row r="13" spans="1:30" hidden="1" x14ac:dyDescent="0.35">
      <c r="A13" s="75" t="s">
        <v>39</v>
      </c>
      <c r="B13" s="2" t="str">
        <f>+'CBA Inputs'!B12</f>
        <v>Capital cost</v>
      </c>
      <c r="C13" s="2"/>
      <c r="D13" s="2"/>
      <c r="E13" s="2"/>
      <c r="F13" s="12" t="s">
        <v>55</v>
      </c>
      <c r="G13" s="26">
        <f>'CBA Inputs'!J12</f>
        <v>1</v>
      </c>
      <c r="H13" s="87" t="str">
        <f t="shared" si="1"/>
        <v>Base</v>
      </c>
      <c r="I13" s="57" t="s">
        <v>60</v>
      </c>
      <c r="J13" s="57" t="s">
        <v>60</v>
      </c>
      <c r="K13" s="57" t="s">
        <v>60</v>
      </c>
      <c r="L13" s="57" t="s">
        <v>60</v>
      </c>
      <c r="M13" s="85"/>
    </row>
    <row r="14" spans="1:30" hidden="1" x14ac:dyDescent="0.35">
      <c r="A14" s="75" t="s">
        <v>40</v>
      </c>
      <c r="B14" s="2" t="str">
        <f>+'CBA Inputs'!B13</f>
        <v>Operating and maintenance cost</v>
      </c>
      <c r="C14" s="2"/>
      <c r="D14" s="2"/>
      <c r="E14" s="2"/>
      <c r="F14" s="12" t="s">
        <v>55</v>
      </c>
      <c r="G14" s="26">
        <f>'CBA Inputs'!J13</f>
        <v>1</v>
      </c>
      <c r="H14" s="87" t="str">
        <f t="shared" si="1"/>
        <v>Base</v>
      </c>
      <c r="I14" s="57" t="s">
        <v>60</v>
      </c>
      <c r="J14" s="57" t="s">
        <v>60</v>
      </c>
      <c r="K14" s="57" t="s">
        <v>60</v>
      </c>
      <c r="L14" s="57" t="s">
        <v>60</v>
      </c>
      <c r="M14" s="85"/>
    </row>
    <row r="15" spans="1:30" hidden="1" collapsed="1" x14ac:dyDescent="0.35">
      <c r="H15" s="15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</row>
    <row r="16" spans="1:30" x14ac:dyDescent="0.35">
      <c r="B16" s="88"/>
      <c r="C16" s="88"/>
      <c r="D16" s="88"/>
      <c r="E16" s="88"/>
      <c r="F16" s="89"/>
      <c r="G16" s="89"/>
      <c r="H16" s="89"/>
    </row>
    <row r="17" spans="2:56" ht="21" x14ac:dyDescent="0.5">
      <c r="B17" s="6" t="s">
        <v>116</v>
      </c>
      <c r="C17" s="6"/>
      <c r="D17" s="6"/>
      <c r="E17" s="6"/>
      <c r="F17" s="6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</row>
    <row r="19" spans="2:56" x14ac:dyDescent="0.35">
      <c r="B19" s="103" t="str">
        <f>'Chart tables'!B14</f>
        <v>Scenario 1</v>
      </c>
      <c r="C19" s="103" t="str">
        <f>I6</f>
        <v>Neutral</v>
      </c>
      <c r="D19" s="103"/>
      <c r="E19" s="103"/>
      <c r="F19" s="103"/>
      <c r="G19" s="103"/>
      <c r="H19" s="103"/>
      <c r="I19" s="103"/>
      <c r="J19" s="117"/>
      <c r="K19" s="103" t="str">
        <f>'Chart tables'!B15</f>
        <v>Scenario 2</v>
      </c>
      <c r="L19" s="103" t="str">
        <f>J6</f>
        <v>Neutral + low emissions</v>
      </c>
      <c r="M19" s="103"/>
      <c r="N19" s="103"/>
      <c r="O19" s="103"/>
      <c r="P19" s="103"/>
      <c r="Q19" s="103"/>
      <c r="R19" s="103"/>
      <c r="S19" s="117"/>
      <c r="T19" s="103" t="str">
        <f>'Chart tables'!B16</f>
        <v>Scenario 3</v>
      </c>
      <c r="U19" s="103" t="str">
        <f>K6</f>
        <v>Slow change</v>
      </c>
      <c r="V19" s="103"/>
      <c r="W19" s="103"/>
      <c r="X19" s="103"/>
      <c r="Y19" s="103"/>
      <c r="Z19" s="103"/>
      <c r="AA19" s="103"/>
      <c r="AB19" s="117"/>
      <c r="AC19" s="103" t="str">
        <f>'Chart tables'!B17</f>
        <v>Scenario 4</v>
      </c>
      <c r="AD19" s="103" t="str">
        <f>L6</f>
        <v>Fast change</v>
      </c>
      <c r="AE19" s="103"/>
      <c r="AF19" s="103"/>
      <c r="AG19" s="103"/>
      <c r="AH19" s="103"/>
      <c r="AI19" s="103"/>
      <c r="AJ19" s="103"/>
      <c r="AK19" s="101"/>
      <c r="AL19" s="103" t="s">
        <v>112</v>
      </c>
      <c r="AM19" s="103"/>
      <c r="AN19" s="103"/>
      <c r="AO19" s="103"/>
      <c r="AP19" s="103"/>
      <c r="AQ19" s="103"/>
      <c r="AR19" s="103"/>
      <c r="AS19" s="103"/>
      <c r="BC19" s="101"/>
      <c r="BD19" s="101"/>
    </row>
    <row r="20" spans="2:56" hidden="1" x14ac:dyDescent="0.35">
      <c r="B20" s="101"/>
      <c r="C20" s="101"/>
      <c r="D20" s="101"/>
      <c r="E20" s="101"/>
      <c r="F20" s="101"/>
      <c r="G20" s="101"/>
      <c r="H20" s="101"/>
      <c r="I20" s="101"/>
      <c r="J20" s="116"/>
      <c r="K20" s="101"/>
      <c r="L20" s="101"/>
      <c r="M20" s="101"/>
      <c r="N20" s="101"/>
      <c r="O20" s="101"/>
      <c r="P20" s="101"/>
      <c r="Q20" s="101"/>
      <c r="R20" s="101"/>
      <c r="S20" s="116"/>
      <c r="T20" s="101"/>
      <c r="U20" s="101"/>
      <c r="V20" s="101"/>
      <c r="W20" s="101"/>
      <c r="X20" s="101"/>
      <c r="Y20" s="101"/>
      <c r="Z20" s="101"/>
      <c r="AA20" s="101"/>
      <c r="AB20" s="116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</row>
    <row r="21" spans="2:56" hidden="1" x14ac:dyDescent="0.35">
      <c r="B21" s="104" t="str">
        <f>'Chart tables'!B6</f>
        <v>Summary of the estimated net market benefits</v>
      </c>
      <c r="C21" s="104"/>
      <c r="D21" s="104"/>
      <c r="E21" s="104"/>
      <c r="F21" s="104"/>
      <c r="G21" s="104"/>
      <c r="H21" s="104"/>
      <c r="I21" s="104"/>
      <c r="J21" s="115"/>
      <c r="K21" s="104" t="s">
        <v>95</v>
      </c>
      <c r="L21" s="104"/>
      <c r="M21" s="104"/>
      <c r="N21" s="104"/>
      <c r="O21" s="104"/>
      <c r="P21" s="104"/>
      <c r="Q21" s="104"/>
      <c r="R21" s="104"/>
      <c r="S21" s="115"/>
      <c r="T21" s="104" t="s">
        <v>95</v>
      </c>
      <c r="U21" s="104"/>
      <c r="V21" s="104"/>
      <c r="W21" s="104"/>
      <c r="X21" s="104"/>
      <c r="Y21" s="104"/>
      <c r="Z21" s="104"/>
      <c r="AA21" s="104"/>
      <c r="AB21" s="115"/>
      <c r="AC21" s="104" t="s">
        <v>95</v>
      </c>
      <c r="AD21" s="104"/>
      <c r="AE21" s="104"/>
      <c r="AF21" s="104"/>
      <c r="AG21" s="104"/>
      <c r="AH21" s="104"/>
      <c r="AI21" s="104"/>
      <c r="AJ21" s="104"/>
      <c r="AK21" s="101"/>
      <c r="AL21" s="104" t="s">
        <v>114</v>
      </c>
      <c r="AM21" s="104"/>
      <c r="AN21" s="104"/>
      <c r="AO21" s="104"/>
      <c r="AP21" s="104"/>
      <c r="AQ21" s="104"/>
      <c r="AR21" s="104"/>
      <c r="AS21" s="104"/>
      <c r="AT21" s="101"/>
      <c r="AU21" s="104" t="s">
        <v>111</v>
      </c>
      <c r="AV21" s="104"/>
      <c r="AW21" s="104"/>
      <c r="AX21" s="104"/>
      <c r="AY21" s="104"/>
      <c r="AZ21" s="104"/>
      <c r="BA21" s="104"/>
      <c r="BB21" s="104"/>
      <c r="BC21" s="101"/>
      <c r="BD21" s="101"/>
    </row>
    <row r="22" spans="2:56" x14ac:dyDescent="0.35"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</row>
    <row r="23" spans="2:56" x14ac:dyDescent="0.35">
      <c r="B23" s="101"/>
      <c r="C23" s="101"/>
      <c r="D23" s="101"/>
      <c r="E23" s="101"/>
      <c r="F23" s="101"/>
      <c r="G23" s="101"/>
      <c r="H23" s="101"/>
      <c r="I23" s="102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</row>
    <row r="24" spans="2:56" x14ac:dyDescent="0.35"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</row>
    <row r="25" spans="2:56" x14ac:dyDescent="0.35">
      <c r="B25" s="101"/>
      <c r="C25" s="101"/>
      <c r="D25" s="101"/>
      <c r="E25" s="101"/>
      <c r="F25" s="101"/>
      <c r="G25" s="101"/>
      <c r="H25" s="101"/>
      <c r="I25" s="102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</row>
    <row r="26" spans="2:56" x14ac:dyDescent="0.35"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</row>
    <row r="27" spans="2:56" x14ac:dyDescent="0.35"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</row>
    <row r="28" spans="2:56" x14ac:dyDescent="0.35">
      <c r="B28" s="101"/>
      <c r="C28" s="101"/>
      <c r="D28" s="101"/>
      <c r="E28" s="101"/>
      <c r="F28" s="101"/>
      <c r="G28" s="101"/>
      <c r="H28" s="101"/>
      <c r="I28" s="102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</row>
    <row r="29" spans="2:56" x14ac:dyDescent="0.35"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</row>
    <row r="30" spans="2:56" x14ac:dyDescent="0.35">
      <c r="B30" s="101"/>
      <c r="C30" s="101"/>
      <c r="D30" s="101"/>
      <c r="E30" s="101"/>
      <c r="F30" s="101"/>
      <c r="G30" s="101"/>
      <c r="H30" s="101"/>
      <c r="I30" s="102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</row>
    <row r="31" spans="2:56" x14ac:dyDescent="0.35"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</row>
    <row r="32" spans="2:56" x14ac:dyDescent="0.35"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</row>
    <row r="33" spans="2:56" x14ac:dyDescent="0.35"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</row>
    <row r="34" spans="2:56" x14ac:dyDescent="0.35"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</row>
    <row r="35" spans="2:56" x14ac:dyDescent="0.35"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</row>
    <row r="36" spans="2:56" x14ac:dyDescent="0.35"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</row>
    <row r="37" spans="2:56" x14ac:dyDescent="0.35"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</row>
    <row r="38" spans="2:56" x14ac:dyDescent="0.35"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</row>
    <row r="39" spans="2:56" x14ac:dyDescent="0.35">
      <c r="B39" s="103" t="str">
        <f>B19</f>
        <v>Scenario 1</v>
      </c>
      <c r="C39" s="103" t="str">
        <f>C19</f>
        <v>Neutral</v>
      </c>
      <c r="D39" s="103"/>
      <c r="E39" s="103"/>
      <c r="F39" s="103"/>
      <c r="G39" s="103"/>
      <c r="H39" s="103"/>
      <c r="I39" s="103"/>
      <c r="J39" s="117"/>
      <c r="K39" s="103" t="str">
        <f>K19</f>
        <v>Scenario 2</v>
      </c>
      <c r="L39" s="103" t="str">
        <f>L19</f>
        <v>Neutral + low emissions</v>
      </c>
      <c r="M39" s="103"/>
      <c r="N39" s="103"/>
      <c r="O39" s="103"/>
      <c r="P39" s="103"/>
      <c r="Q39" s="103"/>
      <c r="R39" s="103"/>
      <c r="S39" s="115"/>
      <c r="T39" s="103" t="str">
        <f>T19</f>
        <v>Scenario 3</v>
      </c>
      <c r="U39" s="103" t="str">
        <f>U19</f>
        <v>Slow change</v>
      </c>
      <c r="V39" s="103"/>
      <c r="W39" s="103"/>
      <c r="X39" s="103"/>
      <c r="Y39" s="103"/>
      <c r="Z39" s="103"/>
      <c r="AA39" s="103"/>
      <c r="AB39" s="115"/>
      <c r="AC39" s="103" t="str">
        <f>AC19</f>
        <v>Scenario 4</v>
      </c>
      <c r="AD39" s="103" t="str">
        <f>AD19</f>
        <v>Fast change</v>
      </c>
      <c r="AE39" s="103"/>
      <c r="AF39" s="103"/>
      <c r="AG39" s="103"/>
      <c r="AH39" s="103"/>
      <c r="AI39" s="103"/>
      <c r="AJ39" s="103"/>
      <c r="AK39" s="101"/>
      <c r="AL39" s="104" t="s">
        <v>113</v>
      </c>
      <c r="AM39" s="104"/>
      <c r="AN39" s="104"/>
      <c r="AO39" s="104"/>
      <c r="AP39" s="104"/>
      <c r="AQ39" s="104"/>
      <c r="AR39" s="104"/>
      <c r="AS39" s="104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</row>
    <row r="40" spans="2:56" x14ac:dyDescent="0.35"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16"/>
      <c r="AL40" s="116"/>
      <c r="AM40" s="116"/>
      <c r="AN40" s="116"/>
      <c r="AO40" s="116"/>
      <c r="AP40" s="116"/>
      <c r="AQ40" s="116"/>
      <c r="AR40" s="116"/>
      <c r="AS40" s="116"/>
      <c r="AT40" s="116"/>
      <c r="AU40" s="116"/>
      <c r="AV40" s="116"/>
      <c r="AW40" s="101"/>
      <c r="AX40" s="101"/>
      <c r="AY40" s="101"/>
      <c r="AZ40" s="101"/>
      <c r="BA40" s="101"/>
      <c r="BB40" s="101"/>
      <c r="BC40" s="101"/>
      <c r="BD40" s="101"/>
    </row>
    <row r="41" spans="2:56" x14ac:dyDescent="0.35"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16"/>
      <c r="AL41" s="116"/>
      <c r="AM41" s="116"/>
      <c r="AN41" s="116"/>
      <c r="AO41" s="116"/>
      <c r="AP41" s="116"/>
      <c r="AQ41" s="116"/>
      <c r="AR41" s="116"/>
      <c r="AS41" s="116"/>
      <c r="AT41" s="116"/>
      <c r="AU41" s="116"/>
      <c r="AV41" s="116"/>
      <c r="AW41" s="101"/>
      <c r="AX41" s="101"/>
      <c r="AY41" s="101"/>
      <c r="AZ41" s="101"/>
      <c r="BA41" s="101"/>
      <c r="BB41" s="101"/>
      <c r="BC41" s="101"/>
      <c r="BD41" s="101"/>
    </row>
    <row r="42" spans="2:56" x14ac:dyDescent="0.35"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01"/>
      <c r="AX42" s="101"/>
      <c r="AY42" s="101"/>
      <c r="AZ42" s="101"/>
      <c r="BA42" s="101"/>
      <c r="BB42" s="101"/>
      <c r="BC42" s="101"/>
      <c r="BD42" s="101"/>
    </row>
    <row r="43" spans="2:56" x14ac:dyDescent="0.35"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01"/>
      <c r="AX43" s="101"/>
      <c r="AY43" s="101"/>
      <c r="AZ43" s="101"/>
      <c r="BA43" s="101"/>
      <c r="BB43" s="101"/>
      <c r="BC43" s="101"/>
      <c r="BD43" s="101"/>
    </row>
    <row r="44" spans="2:56" x14ac:dyDescent="0.35"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01"/>
      <c r="AX44" s="101"/>
      <c r="AY44" s="101"/>
      <c r="AZ44" s="101"/>
      <c r="BA44" s="101"/>
      <c r="BB44" s="101"/>
      <c r="BC44" s="101"/>
      <c r="BD44" s="101"/>
    </row>
    <row r="45" spans="2:56" x14ac:dyDescent="0.35"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01"/>
      <c r="AX45" s="101"/>
      <c r="AY45" s="101"/>
      <c r="AZ45" s="101"/>
      <c r="BA45" s="101"/>
      <c r="BB45" s="101"/>
      <c r="BC45" s="101"/>
      <c r="BD45" s="101"/>
    </row>
    <row r="46" spans="2:56" x14ac:dyDescent="0.35"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16"/>
      <c r="AL46" s="116"/>
      <c r="AM46" s="116"/>
      <c r="AN46" s="116"/>
      <c r="AO46" s="116"/>
      <c r="AP46" s="116"/>
      <c r="AQ46" s="116"/>
      <c r="AR46" s="116"/>
      <c r="AS46" s="116"/>
      <c r="AT46" s="116"/>
      <c r="AU46" s="116"/>
      <c r="AV46" s="116"/>
      <c r="AW46" s="101"/>
      <c r="AX46" s="101"/>
      <c r="AY46" s="101"/>
      <c r="AZ46" s="101"/>
      <c r="BA46" s="101"/>
      <c r="BB46" s="101"/>
      <c r="BC46" s="101"/>
      <c r="BD46" s="101"/>
    </row>
    <row r="47" spans="2:56" x14ac:dyDescent="0.35"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01"/>
      <c r="AX47" s="101"/>
      <c r="AY47" s="101"/>
      <c r="AZ47" s="101"/>
      <c r="BA47" s="101"/>
      <c r="BB47" s="101"/>
      <c r="BC47" s="101"/>
      <c r="BD47" s="101"/>
    </row>
    <row r="48" spans="2:56" x14ac:dyDescent="0.35"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16"/>
      <c r="AL48" s="116"/>
      <c r="AM48" s="116"/>
      <c r="AN48" s="116"/>
      <c r="AO48" s="116"/>
      <c r="AP48" s="116"/>
      <c r="AQ48" s="116"/>
      <c r="AR48" s="116"/>
      <c r="AS48" s="116"/>
      <c r="AT48" s="116"/>
      <c r="AU48" s="116"/>
      <c r="AV48" s="116"/>
      <c r="AW48" s="101"/>
      <c r="AX48" s="101"/>
      <c r="AY48" s="101"/>
      <c r="AZ48" s="101"/>
      <c r="BA48" s="101"/>
      <c r="BB48" s="101"/>
      <c r="BC48" s="101"/>
      <c r="BD48" s="101"/>
    </row>
    <row r="49" spans="2:56" x14ac:dyDescent="0.35"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01"/>
      <c r="AX49" s="101"/>
      <c r="AY49" s="101"/>
      <c r="AZ49" s="101"/>
      <c r="BA49" s="101"/>
      <c r="BB49" s="101"/>
      <c r="BC49" s="101"/>
      <c r="BD49" s="101"/>
    </row>
    <row r="50" spans="2:56" x14ac:dyDescent="0.35"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01"/>
      <c r="AX50" s="101"/>
      <c r="AY50" s="101"/>
      <c r="AZ50" s="101"/>
      <c r="BA50" s="101"/>
      <c r="BB50" s="101"/>
      <c r="BC50" s="101"/>
      <c r="BD50" s="101"/>
    </row>
    <row r="51" spans="2:56" x14ac:dyDescent="0.35"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01"/>
      <c r="AX51" s="101"/>
      <c r="AY51" s="101"/>
      <c r="AZ51" s="101"/>
      <c r="BA51" s="101"/>
      <c r="BB51" s="101"/>
      <c r="BC51" s="101"/>
      <c r="BD51" s="101"/>
    </row>
    <row r="52" spans="2:56" x14ac:dyDescent="0.35"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01"/>
      <c r="AX52" s="101"/>
      <c r="AY52" s="101"/>
      <c r="AZ52" s="101"/>
      <c r="BA52" s="101"/>
      <c r="BB52" s="101"/>
      <c r="BC52" s="101"/>
      <c r="BD52" s="101"/>
    </row>
    <row r="53" spans="2:56" x14ac:dyDescent="0.35"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16"/>
      <c r="AL53" s="116"/>
      <c r="AM53" s="116"/>
      <c r="AN53" s="116"/>
      <c r="AO53" s="116"/>
      <c r="AP53" s="116"/>
      <c r="AQ53" s="116"/>
      <c r="AR53" s="116"/>
      <c r="AS53" s="116"/>
      <c r="AT53" s="116"/>
      <c r="AU53" s="116"/>
      <c r="AV53" s="116"/>
      <c r="AW53" s="101"/>
      <c r="AX53" s="101"/>
      <c r="AY53" s="101"/>
      <c r="AZ53" s="101"/>
      <c r="BA53" s="101"/>
      <c r="BB53" s="101"/>
      <c r="BC53" s="101"/>
      <c r="BD53" s="101"/>
    </row>
    <row r="54" spans="2:56" x14ac:dyDescent="0.35"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16"/>
      <c r="AL54" s="116"/>
      <c r="AM54" s="116"/>
      <c r="AN54" s="116"/>
      <c r="AO54" s="116"/>
      <c r="AP54" s="116"/>
      <c r="AQ54" s="116"/>
      <c r="AR54" s="116"/>
      <c r="AS54" s="116"/>
      <c r="AT54" s="116"/>
      <c r="AU54" s="116"/>
      <c r="AV54" s="116"/>
      <c r="AW54" s="101"/>
      <c r="AX54" s="101"/>
      <c r="AY54" s="101"/>
      <c r="AZ54" s="101"/>
      <c r="BA54" s="101"/>
      <c r="BB54" s="101"/>
      <c r="BC54" s="101"/>
      <c r="BD54" s="101"/>
    </row>
    <row r="55" spans="2:56" x14ac:dyDescent="0.35"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16"/>
      <c r="AL55" s="116"/>
      <c r="AM55" s="116"/>
      <c r="AN55" s="116"/>
      <c r="AO55" s="116"/>
      <c r="AP55" s="116"/>
      <c r="AQ55" s="116"/>
      <c r="AR55" s="116"/>
      <c r="AS55" s="116"/>
      <c r="AT55" s="116"/>
      <c r="AU55" s="116"/>
      <c r="AV55" s="116"/>
      <c r="AW55" s="101"/>
      <c r="AX55" s="101"/>
      <c r="AY55" s="101"/>
      <c r="AZ55" s="101"/>
      <c r="BA55" s="101"/>
      <c r="BB55" s="101"/>
      <c r="BC55" s="101"/>
      <c r="BD55" s="101"/>
    </row>
    <row r="56" spans="2:56" x14ac:dyDescent="0.35"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01"/>
      <c r="AX56" s="101"/>
      <c r="AY56" s="101"/>
      <c r="AZ56" s="101"/>
      <c r="BA56" s="101"/>
      <c r="BB56" s="101"/>
      <c r="BC56" s="101"/>
      <c r="BD56" s="101"/>
    </row>
    <row r="57" spans="2:56" x14ac:dyDescent="0.35">
      <c r="B57" s="103" t="str">
        <f>B19</f>
        <v>Scenario 1</v>
      </c>
      <c r="C57" s="103" t="str">
        <f>$C$19</f>
        <v>Neutral</v>
      </c>
      <c r="D57" s="172" t="str">
        <f>'Chart tables'!E119</f>
        <v>Option 1A</v>
      </c>
      <c r="E57" s="134" t="s">
        <v>105</v>
      </c>
      <c r="F57" s="134"/>
      <c r="G57" s="134"/>
      <c r="H57" s="134"/>
      <c r="I57" s="134"/>
      <c r="J57" s="167"/>
      <c r="K57" s="103" t="str">
        <f>K19</f>
        <v>Scenario 2</v>
      </c>
      <c r="L57" s="103" t="str">
        <f>$L$19</f>
        <v>Neutral + low emissions</v>
      </c>
      <c r="M57" s="172">
        <f>'Chart tables'!$U$18</f>
        <v>0</v>
      </c>
      <c r="N57" s="134" t="s">
        <v>105</v>
      </c>
      <c r="O57" s="134"/>
      <c r="P57" s="134"/>
      <c r="Q57" s="134"/>
      <c r="R57" s="134"/>
      <c r="S57" s="168"/>
      <c r="T57" s="103" t="str">
        <f>T19</f>
        <v>Scenario 3</v>
      </c>
      <c r="U57" s="103" t="str">
        <f>$U$19</f>
        <v>Slow change</v>
      </c>
      <c r="V57" s="172">
        <f>'Chart tables'!$U$18</f>
        <v>0</v>
      </c>
      <c r="W57" s="134" t="s">
        <v>105</v>
      </c>
      <c r="X57" s="134"/>
      <c r="Y57" s="134"/>
      <c r="Z57" s="134"/>
      <c r="AA57" s="134"/>
      <c r="AB57" s="168"/>
      <c r="AC57" s="103" t="str">
        <f>AC19</f>
        <v>Scenario 4</v>
      </c>
      <c r="AD57" s="103" t="str">
        <f>$AD$19</f>
        <v>Fast change</v>
      </c>
      <c r="AE57" s="172">
        <f>'Chart tables'!$U$18</f>
        <v>0</v>
      </c>
      <c r="AF57" s="134" t="s">
        <v>105</v>
      </c>
      <c r="AG57" s="134"/>
      <c r="AH57" s="134"/>
      <c r="AI57" s="134"/>
      <c r="AJ57" s="134"/>
      <c r="AK57" s="116"/>
      <c r="AL57" s="179"/>
      <c r="AM57" s="116"/>
      <c r="AN57" s="116"/>
      <c r="AO57" s="116"/>
      <c r="AP57" s="116"/>
      <c r="AQ57" s="116"/>
      <c r="AR57" s="116"/>
      <c r="AS57" s="116"/>
      <c r="AT57" s="116"/>
      <c r="AU57" s="116"/>
      <c r="AV57" s="116"/>
      <c r="AW57" s="101"/>
      <c r="AX57" s="101"/>
      <c r="AY57" s="101"/>
      <c r="AZ57" s="101"/>
      <c r="BA57" s="101"/>
      <c r="BB57" s="101"/>
      <c r="BC57" s="101"/>
      <c r="BD57" s="101"/>
    </row>
    <row r="58" spans="2:56" x14ac:dyDescent="0.35"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85"/>
      <c r="AV58" s="85"/>
      <c r="BC58" s="101"/>
      <c r="BD58" s="101"/>
    </row>
    <row r="59" spans="2:56" x14ac:dyDescent="0.35"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16"/>
      <c r="AL59" s="116"/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01"/>
      <c r="AX59" s="101"/>
      <c r="AY59" s="101"/>
      <c r="AZ59" s="101"/>
      <c r="BA59" s="101"/>
      <c r="BB59" s="101"/>
      <c r="BC59" s="101"/>
      <c r="BD59" s="101"/>
    </row>
    <row r="60" spans="2:56" x14ac:dyDescent="0.35"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01"/>
      <c r="AX60" s="101"/>
      <c r="AY60" s="101"/>
      <c r="AZ60" s="101"/>
      <c r="BA60" s="101"/>
      <c r="BB60" s="101"/>
      <c r="BC60" s="101"/>
      <c r="BD60" s="101"/>
    </row>
    <row r="61" spans="2:56" x14ac:dyDescent="0.35"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16"/>
      <c r="AL61" s="116"/>
      <c r="AM61" s="116"/>
      <c r="AN61" s="116"/>
      <c r="AO61" s="116"/>
      <c r="AP61" s="116"/>
      <c r="AQ61" s="116"/>
      <c r="AR61" s="116"/>
      <c r="AS61" s="116"/>
      <c r="AT61" s="116"/>
      <c r="AU61" s="116"/>
      <c r="AV61" s="116"/>
      <c r="AW61" s="101"/>
      <c r="AX61" s="101"/>
      <c r="AY61" s="101"/>
      <c r="AZ61" s="101"/>
      <c r="BA61" s="101"/>
      <c r="BB61" s="101"/>
      <c r="BC61" s="101"/>
      <c r="BD61" s="101"/>
    </row>
    <row r="62" spans="2:56" x14ac:dyDescent="0.35"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01"/>
      <c r="AX62" s="101"/>
      <c r="AY62" s="101"/>
      <c r="AZ62" s="101"/>
      <c r="BA62" s="101"/>
      <c r="BB62" s="101"/>
      <c r="BC62" s="101"/>
      <c r="BD62" s="101"/>
    </row>
    <row r="63" spans="2:56" x14ac:dyDescent="0.35"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16"/>
      <c r="AL63" s="116"/>
      <c r="AM63" s="116"/>
      <c r="AN63" s="116"/>
      <c r="AO63" s="116"/>
      <c r="AP63" s="116"/>
      <c r="AQ63" s="116"/>
      <c r="AR63" s="116"/>
      <c r="AS63" s="116"/>
      <c r="AT63" s="116"/>
      <c r="AU63" s="116"/>
      <c r="AV63" s="116"/>
      <c r="AW63" s="101"/>
      <c r="AX63" s="101"/>
      <c r="AY63" s="101"/>
      <c r="AZ63" s="101"/>
      <c r="BA63" s="101"/>
      <c r="BB63" s="101"/>
      <c r="BC63" s="101"/>
      <c r="BD63" s="101"/>
    </row>
    <row r="64" spans="2:56" x14ac:dyDescent="0.35"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16"/>
      <c r="AL64" s="116"/>
      <c r="AM64" s="116"/>
      <c r="AN64" s="116"/>
      <c r="AO64" s="116"/>
      <c r="AP64" s="116"/>
      <c r="AQ64" s="116"/>
      <c r="AR64" s="116"/>
      <c r="AS64" s="116"/>
      <c r="AT64" s="116"/>
      <c r="AU64" s="116"/>
      <c r="AV64" s="116"/>
      <c r="AW64" s="101"/>
      <c r="AX64" s="101"/>
      <c r="AY64" s="101"/>
      <c r="AZ64" s="101"/>
      <c r="BA64" s="101"/>
      <c r="BB64" s="101"/>
      <c r="BC64" s="101"/>
      <c r="BD64" s="101"/>
    </row>
    <row r="65" spans="2:56" x14ac:dyDescent="0.35"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16"/>
      <c r="AL65" s="116"/>
      <c r="AM65" s="116"/>
      <c r="AN65" s="116"/>
      <c r="AO65" s="116"/>
      <c r="AP65" s="116"/>
      <c r="AQ65" s="116"/>
      <c r="AR65" s="116"/>
      <c r="AS65" s="116"/>
      <c r="AT65" s="116"/>
      <c r="AU65" s="116"/>
      <c r="AV65" s="116"/>
      <c r="AW65" s="101"/>
      <c r="AX65" s="101"/>
      <c r="AY65" s="101"/>
      <c r="AZ65" s="101"/>
      <c r="BA65" s="101"/>
      <c r="BB65" s="101"/>
      <c r="BC65" s="101"/>
      <c r="BD65" s="101"/>
    </row>
    <row r="66" spans="2:56" x14ac:dyDescent="0.35"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01"/>
      <c r="AX66" s="101"/>
      <c r="AY66" s="101"/>
      <c r="AZ66" s="101"/>
      <c r="BA66" s="101"/>
      <c r="BB66" s="101"/>
      <c r="BC66" s="101"/>
      <c r="BD66" s="101"/>
    </row>
    <row r="67" spans="2:56" x14ac:dyDescent="0.35"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01"/>
      <c r="AX67" s="101"/>
      <c r="AY67" s="101"/>
      <c r="AZ67" s="101"/>
      <c r="BA67" s="101"/>
      <c r="BB67" s="101"/>
      <c r="BC67" s="101"/>
      <c r="BD67" s="101"/>
    </row>
    <row r="68" spans="2:56" x14ac:dyDescent="0.35"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01"/>
      <c r="AX68" s="101"/>
      <c r="AY68" s="101"/>
      <c r="AZ68" s="101"/>
      <c r="BA68" s="101"/>
      <c r="BB68" s="101"/>
      <c r="BC68" s="101"/>
      <c r="BD68" s="101"/>
    </row>
    <row r="69" spans="2:56" x14ac:dyDescent="0.35"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16"/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01"/>
      <c r="AX69" s="101"/>
      <c r="AY69" s="101"/>
      <c r="AZ69" s="101"/>
      <c r="BA69" s="101"/>
      <c r="BB69" s="101"/>
      <c r="BC69" s="101"/>
      <c r="BD69" s="101"/>
    </row>
    <row r="70" spans="2:56" x14ac:dyDescent="0.35"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01"/>
      <c r="AX70" s="101"/>
      <c r="AY70" s="101"/>
      <c r="AZ70" s="101"/>
      <c r="BA70" s="101"/>
      <c r="BB70" s="101"/>
      <c r="BC70" s="101"/>
      <c r="BD70" s="101"/>
    </row>
    <row r="71" spans="2:56" x14ac:dyDescent="0.35"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01"/>
      <c r="AX71" s="101"/>
      <c r="AY71" s="101"/>
      <c r="AZ71" s="101"/>
      <c r="BA71" s="101"/>
      <c r="BB71" s="101"/>
      <c r="BC71" s="101"/>
      <c r="BD71" s="101"/>
    </row>
    <row r="72" spans="2:56" x14ac:dyDescent="0.35"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</row>
    <row r="73" spans="2:56" x14ac:dyDescent="0.35">
      <c r="AK73" s="116"/>
      <c r="AL73" s="116"/>
      <c r="AM73" s="116"/>
      <c r="AN73" s="116"/>
      <c r="AO73" s="116"/>
      <c r="AP73" s="116"/>
      <c r="AQ73" s="116"/>
      <c r="AR73" s="116"/>
      <c r="AS73" s="116"/>
      <c r="AT73" s="116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</row>
    <row r="74" spans="2:56" x14ac:dyDescent="0.35">
      <c r="AK74" s="116"/>
      <c r="AL74" s="116"/>
      <c r="AM74" s="116"/>
      <c r="AN74" s="116"/>
      <c r="AO74" s="116"/>
      <c r="AP74" s="116"/>
      <c r="AQ74" s="116"/>
      <c r="AR74" s="116"/>
      <c r="AS74" s="116"/>
      <c r="AT74" s="116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</row>
    <row r="75" spans="2:56" x14ac:dyDescent="0.35">
      <c r="AK75" s="116"/>
      <c r="AL75" s="116"/>
      <c r="AM75" s="116"/>
      <c r="AN75" s="116"/>
      <c r="AO75" s="116"/>
      <c r="AP75" s="116"/>
      <c r="AQ75" s="116"/>
      <c r="AR75" s="116"/>
      <c r="AS75" s="116"/>
      <c r="AT75" s="116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</row>
    <row r="76" spans="2:56" x14ac:dyDescent="0.35">
      <c r="AK76" s="116"/>
      <c r="AL76" s="116"/>
      <c r="AM76" s="116"/>
      <c r="AN76" s="116"/>
      <c r="AO76" s="116"/>
      <c r="AP76" s="116"/>
      <c r="AQ76" s="116"/>
      <c r="AR76" s="116"/>
      <c r="AS76" s="116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</row>
    <row r="77" spans="2:56" x14ac:dyDescent="0.35">
      <c r="AK77" s="116"/>
      <c r="AL77" s="116"/>
      <c r="AM77" s="116"/>
      <c r="AN77" s="116"/>
      <c r="AO77" s="116"/>
      <c r="AP77" s="116"/>
      <c r="AQ77" s="116"/>
      <c r="AR77" s="116"/>
      <c r="AS77" s="116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</row>
    <row r="78" spans="2:56" x14ac:dyDescent="0.35">
      <c r="AK78" s="116"/>
      <c r="AL78" s="116"/>
      <c r="AM78" s="116"/>
      <c r="AN78" s="116"/>
      <c r="AO78" s="116"/>
      <c r="AP78" s="116"/>
      <c r="AQ78" s="116"/>
      <c r="AR78" s="116"/>
      <c r="AS78" s="116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</row>
    <row r="79" spans="2:56" x14ac:dyDescent="0.35">
      <c r="AK79" s="116"/>
      <c r="AL79" s="116"/>
      <c r="AM79" s="116"/>
      <c r="AN79" s="116"/>
      <c r="AO79" s="116"/>
      <c r="AP79" s="116"/>
      <c r="AQ79" s="116"/>
      <c r="AR79" s="116"/>
      <c r="AS79" s="116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</row>
    <row r="80" spans="2:56" x14ac:dyDescent="0.35"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16"/>
      <c r="AL80" s="116"/>
      <c r="AM80" s="116"/>
      <c r="AN80" s="116"/>
      <c r="AO80" s="116"/>
      <c r="AP80" s="116"/>
      <c r="AQ80" s="116"/>
      <c r="AR80" s="116"/>
      <c r="AS80" s="116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</row>
    <row r="81" spans="2:56" x14ac:dyDescent="0.35"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16"/>
      <c r="AL81" s="116"/>
      <c r="AM81" s="116"/>
      <c r="AN81" s="116"/>
      <c r="AO81" s="116"/>
      <c r="AP81" s="116"/>
      <c r="AQ81" s="116"/>
      <c r="AR81" s="116"/>
      <c r="AS81" s="116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</row>
    <row r="82" spans="2:56" x14ac:dyDescent="0.35"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16"/>
      <c r="AL82" s="116"/>
      <c r="AM82" s="116"/>
      <c r="AN82" s="116"/>
      <c r="AO82" s="116"/>
      <c r="AP82" s="116"/>
      <c r="AQ82" s="116"/>
      <c r="AR82" s="116"/>
      <c r="AS82" s="116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</row>
    <row r="83" spans="2:56" x14ac:dyDescent="0.35"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16"/>
      <c r="AL83" s="116"/>
      <c r="AM83" s="116"/>
      <c r="AN83" s="116"/>
      <c r="AO83" s="116"/>
      <c r="AP83" s="116"/>
      <c r="AQ83" s="116"/>
      <c r="AR83" s="116"/>
      <c r="AS83" s="116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</row>
    <row r="84" spans="2:56" x14ac:dyDescent="0.35"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16"/>
      <c r="AL84" s="116"/>
      <c r="AM84" s="116"/>
      <c r="AN84" s="116"/>
      <c r="AO84" s="116"/>
      <c r="AP84" s="116"/>
      <c r="AQ84" s="116"/>
      <c r="AR84" s="116"/>
      <c r="AS84" s="116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</row>
    <row r="85" spans="2:56" x14ac:dyDescent="0.35"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</row>
    <row r="86" spans="2:56" x14ac:dyDescent="0.35">
      <c r="B86" s="102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</row>
    <row r="87" spans="2:56" x14ac:dyDescent="0.35"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</row>
    <row r="88" spans="2:56" x14ac:dyDescent="0.35"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</row>
    <row r="89" spans="2:56" x14ac:dyDescent="0.35"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</row>
    <row r="90" spans="2:56" x14ac:dyDescent="0.35"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2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</row>
    <row r="91" spans="2:56" x14ac:dyDescent="0.35"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2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</row>
    <row r="92" spans="2:56" x14ac:dyDescent="0.35"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2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</row>
    <row r="93" spans="2:56" x14ac:dyDescent="0.35"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2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</row>
    <row r="94" spans="2:56" x14ac:dyDescent="0.35"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2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</row>
    <row r="95" spans="2:56" x14ac:dyDescent="0.35"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2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</row>
  </sheetData>
  <dataValidations count="2">
    <dataValidation type="list" allowBlank="1" showInputMessage="1" showErrorMessage="1" sqref="D8" xr:uid="{00000000-0002-0000-0100-000001000000}">
      <formula1>$I$11:$L$11</formula1>
    </dataValidation>
    <dataValidation type="list" allowBlank="1" showInputMessage="1" showErrorMessage="1" sqref="F16:H16 I12:L14" xr:uid="{00000000-0002-0000-0100-000002000000}">
      <formula1>$A$12:$A$14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062A3-450C-4C8B-B493-3F4D8B323220}">
  <sheetPr codeName="Sheet8">
    <tabColor theme="3"/>
  </sheetPr>
  <dimension ref="A1:CL180"/>
  <sheetViews>
    <sheetView showGridLines="0" topLeftCell="A16" zoomScale="80" zoomScaleNormal="80" workbookViewId="0">
      <selection activeCell="H27" sqref="H27"/>
    </sheetView>
  </sheetViews>
  <sheetFormatPr defaultColWidth="9.23046875" defaultRowHeight="12.5" x14ac:dyDescent="0.25"/>
  <cols>
    <col min="1" max="1" width="5.69140625" style="101" customWidth="1"/>
    <col min="2" max="20" width="15.69140625" style="101" customWidth="1"/>
    <col min="21" max="21" width="17.4609375" style="140" customWidth="1"/>
    <col min="22" max="23" width="15.69140625" style="101" customWidth="1"/>
    <col min="24" max="29" width="15.69140625" style="109" customWidth="1"/>
    <col min="30" max="31" width="15.69140625" style="101" customWidth="1"/>
    <col min="32" max="43" width="9.3046875" style="101" bestFit="1" customWidth="1"/>
    <col min="44" max="44" width="9.765625" style="101" bestFit="1" customWidth="1"/>
    <col min="45" max="47" width="9.3046875" style="101" bestFit="1" customWidth="1"/>
    <col min="48" max="49" width="9.765625" style="101" bestFit="1" customWidth="1"/>
    <col min="50" max="56" width="9.3046875" style="101" bestFit="1" customWidth="1"/>
    <col min="57" max="57" width="10.53515625" style="101" bestFit="1" customWidth="1"/>
    <col min="58" max="58" width="10.53515625" style="116" customWidth="1"/>
    <col min="59" max="59" width="25.3046875" style="101" bestFit="1" customWidth="1"/>
    <col min="60" max="60" width="9.3046875" style="101" bestFit="1" customWidth="1"/>
    <col min="61" max="61" width="11.3046875" style="101" customWidth="1"/>
    <col min="62" max="62" width="13.84375" style="101" bestFit="1" customWidth="1"/>
    <col min="63" max="63" width="14.07421875" style="101" bestFit="1" customWidth="1"/>
    <col min="64" max="64" width="13.69140625" style="101" bestFit="1" customWidth="1"/>
    <col min="65" max="65" width="13" style="101" bestFit="1" customWidth="1"/>
    <col min="66" max="66" width="13.84375" style="101" bestFit="1" customWidth="1"/>
    <col min="67" max="67" width="13.69140625" style="101" bestFit="1" customWidth="1"/>
    <col min="68" max="69" width="14.07421875" style="101" bestFit="1" customWidth="1"/>
    <col min="70" max="70" width="13.69140625" style="101" bestFit="1" customWidth="1"/>
    <col min="71" max="71" width="13.3046875" style="101" bestFit="1" customWidth="1"/>
    <col min="72" max="73" width="13.69140625" style="101" bestFit="1" customWidth="1"/>
    <col min="74" max="78" width="14.07421875" style="101" bestFit="1" customWidth="1"/>
    <col min="79" max="79" width="13.69140625" style="101" bestFit="1" customWidth="1"/>
    <col min="80" max="80" width="14.53515625" style="101" bestFit="1" customWidth="1"/>
    <col min="81" max="82" width="14.07421875" style="101" bestFit="1" customWidth="1"/>
    <col min="83" max="83" width="13.69140625" style="101" bestFit="1" customWidth="1"/>
    <col min="84" max="84" width="14.53515625" style="101" bestFit="1" customWidth="1"/>
    <col min="85" max="85" width="9.23046875" style="101"/>
    <col min="86" max="86" width="29.69140625" style="101" customWidth="1"/>
    <col min="87" max="90" width="9.3046875" style="101" customWidth="1"/>
    <col min="91" max="16384" width="9.23046875" style="101"/>
  </cols>
  <sheetData>
    <row r="1" spans="1:90" ht="18" x14ac:dyDescent="0.4">
      <c r="B1" s="92" t="str">
        <f ca="1">MID(CELL("filename",B2),FIND("]",CELL("filename",B2))+1,256)</f>
        <v>Chart tables</v>
      </c>
    </row>
    <row r="2" spans="1:90" ht="15.5" x14ac:dyDescent="0.35">
      <c r="B2" s="93" t="s">
        <v>126</v>
      </c>
    </row>
    <row r="4" spans="1:90" ht="21" x14ac:dyDescent="0.5">
      <c r="B4" s="63"/>
      <c r="C4" s="63"/>
      <c r="D4" s="63"/>
      <c r="E4" s="63"/>
      <c r="F4" s="63"/>
      <c r="G4" s="63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</row>
    <row r="5" spans="1:90" x14ac:dyDescent="0.25"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</row>
    <row r="6" spans="1:90" ht="13" x14ac:dyDescent="0.3">
      <c r="B6" s="103" t="s">
        <v>95</v>
      </c>
      <c r="C6" s="103"/>
      <c r="D6" s="103"/>
      <c r="E6" s="103"/>
      <c r="F6" s="103"/>
      <c r="G6" s="103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BF6" s="117"/>
      <c r="CH6" s="117"/>
      <c r="CI6" s="117"/>
      <c r="CJ6" s="117"/>
      <c r="CK6" s="117"/>
      <c r="CL6" s="117"/>
    </row>
    <row r="7" spans="1:90" x14ac:dyDescent="0.25">
      <c r="U7" s="190"/>
      <c r="CH7" s="116"/>
      <c r="CI7" s="116"/>
      <c r="CJ7" s="116"/>
      <c r="CK7" s="116"/>
      <c r="CL7" s="116"/>
    </row>
    <row r="8" spans="1:90" ht="15.5" customHeight="1" x14ac:dyDescent="0.3">
      <c r="B8" s="104"/>
      <c r="C8" s="104"/>
      <c r="D8" s="279" t="s">
        <v>141</v>
      </c>
      <c r="E8" s="279"/>
      <c r="F8" s="279"/>
      <c r="G8" s="279"/>
      <c r="H8" s="280" t="s">
        <v>139</v>
      </c>
      <c r="I8" s="280"/>
      <c r="J8" s="280"/>
      <c r="K8" s="184" t="s">
        <v>134</v>
      </c>
      <c r="L8" s="184"/>
      <c r="M8" s="184"/>
      <c r="N8" s="184"/>
      <c r="O8" s="184"/>
      <c r="P8" s="184"/>
      <c r="Q8" s="184"/>
      <c r="R8" s="184"/>
      <c r="S8" s="183"/>
      <c r="T8" s="183"/>
      <c r="U8" s="190"/>
      <c r="CH8" s="116"/>
      <c r="CI8" s="116"/>
      <c r="CJ8" s="116"/>
      <c r="CK8" s="116"/>
      <c r="CL8" s="116"/>
    </row>
    <row r="9" spans="1:90" ht="13" x14ac:dyDescent="0.3">
      <c r="B9" s="104" t="s">
        <v>96</v>
      </c>
      <c r="C9" s="104"/>
      <c r="D9" s="107" t="str">
        <f t="array" ref="D9:T9">TRANSPOSE('Option inputs'!C15:C18)</f>
        <v>Option 1A</v>
      </c>
      <c r="E9" s="107" t="str">
        <v>Option 1B</v>
      </c>
      <c r="F9" s="107" t="str">
        <v>Option 1C</v>
      </c>
      <c r="G9" s="107" t="str">
        <v>Option 1D</v>
      </c>
      <c r="H9" s="183" t="e">
        <v>#N/A</v>
      </c>
      <c r="I9" s="183" t="e">
        <v>#N/A</v>
      </c>
      <c r="J9" s="183" t="e">
        <v>#N/A</v>
      </c>
      <c r="K9" s="183" t="e">
        <v>#N/A</v>
      </c>
      <c r="L9" s="183" t="e">
        <v>#N/A</v>
      </c>
      <c r="M9" s="183" t="e">
        <v>#N/A</v>
      </c>
      <c r="N9" s="183" t="e">
        <v>#N/A</v>
      </c>
      <c r="O9" s="183" t="e">
        <v>#N/A</v>
      </c>
      <c r="P9" s="183" t="e">
        <v>#N/A</v>
      </c>
      <c r="Q9" s="183" t="e">
        <v>#N/A</v>
      </c>
      <c r="R9" s="183" t="e">
        <v>#N/A</v>
      </c>
      <c r="S9" s="183" t="e">
        <v>#N/A</v>
      </c>
      <c r="T9" s="183" t="e">
        <v>#N/A</v>
      </c>
      <c r="U9" s="190"/>
      <c r="BF9" s="115"/>
      <c r="CH9" s="115"/>
      <c r="CI9" s="115"/>
      <c r="CJ9" s="115"/>
      <c r="CK9" s="115"/>
      <c r="CL9" s="115"/>
    </row>
    <row r="10" spans="1:90" x14ac:dyDescent="0.25">
      <c r="B10" s="105" t="s">
        <v>38</v>
      </c>
      <c r="C10" s="105"/>
      <c r="D10" s="108">
        <f t="array" ref="D10:G10">TRANSPOSE(Calculation!F8:F11)</f>
        <v>188344788.98592159</v>
      </c>
      <c r="E10" s="108">
        <v>153906120.98581284</v>
      </c>
      <c r="F10" s="108">
        <v>-23792159.192626644</v>
      </c>
      <c r="G10" s="108">
        <v>46203541.531039797</v>
      </c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90"/>
      <c r="BF10" s="142"/>
      <c r="CH10" s="159"/>
      <c r="CI10" s="160"/>
      <c r="CJ10" s="160"/>
      <c r="CK10" s="160"/>
      <c r="CL10" s="160"/>
    </row>
    <row r="11" spans="1:90" x14ac:dyDescent="0.25">
      <c r="D11" s="175"/>
      <c r="E11" s="180"/>
      <c r="F11" s="180"/>
      <c r="G11" s="175"/>
      <c r="H11" s="175"/>
      <c r="I11" s="135"/>
      <c r="J11" s="175"/>
      <c r="K11" s="175"/>
      <c r="L11" s="175"/>
      <c r="M11" s="175"/>
      <c r="N11" s="175"/>
      <c r="O11" s="175"/>
      <c r="P11" s="175"/>
      <c r="Q11" s="175"/>
      <c r="R11" s="175"/>
      <c r="S11" s="109"/>
      <c r="T11" s="109"/>
      <c r="BF11" s="142"/>
      <c r="CH11" s="159"/>
      <c r="CI11" s="160"/>
      <c r="CJ11" s="160"/>
      <c r="CK11" s="160"/>
      <c r="CL11" s="160"/>
    </row>
    <row r="12" spans="1:90" ht="15.5" customHeight="1" x14ac:dyDescent="0.3">
      <c r="B12" s="104"/>
      <c r="C12" s="104"/>
      <c r="D12" s="279" t="s">
        <v>141</v>
      </c>
      <c r="E12" s="279"/>
      <c r="F12" s="279"/>
      <c r="G12" s="279"/>
      <c r="H12" s="280"/>
      <c r="I12" s="280"/>
      <c r="J12" s="280"/>
      <c r="K12" s="184"/>
      <c r="L12" s="184"/>
      <c r="M12" s="184"/>
      <c r="N12" s="184"/>
      <c r="O12" s="184"/>
      <c r="P12" s="184"/>
      <c r="Q12" s="184"/>
      <c r="R12" s="184"/>
      <c r="S12" s="183"/>
      <c r="T12" s="183"/>
      <c r="U12" s="196"/>
      <c r="BF12" s="142"/>
    </row>
    <row r="13" spans="1:90" ht="13" x14ac:dyDescent="0.3">
      <c r="A13" s="102"/>
      <c r="B13" s="104" t="s">
        <v>45</v>
      </c>
      <c r="C13" s="104" t="str">
        <f>B13</f>
        <v>Scenario</v>
      </c>
      <c r="D13" s="161" t="str">
        <f>D$9</f>
        <v>Option 1A</v>
      </c>
      <c r="E13" s="161" t="str">
        <f t="shared" ref="E13:G13" si="0">E$9</f>
        <v>Option 1B</v>
      </c>
      <c r="F13" s="161" t="str">
        <f t="shared" si="0"/>
        <v>Option 1C</v>
      </c>
      <c r="G13" s="161" t="str">
        <f t="shared" si="0"/>
        <v>Option 1D</v>
      </c>
      <c r="H13" s="128"/>
      <c r="I13" s="128"/>
      <c r="J13" s="128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97"/>
      <c r="BF13" s="142"/>
    </row>
    <row r="14" spans="1:90" x14ac:dyDescent="0.25">
      <c r="A14" s="102"/>
      <c r="B14" s="105" t="s">
        <v>77</v>
      </c>
      <c r="C14" s="105" t="s">
        <v>93</v>
      </c>
      <c r="D14" s="199">
        <v>188320911.07375386</v>
      </c>
      <c r="E14" s="199">
        <v>153906120.98581284</v>
      </c>
      <c r="F14" s="199">
        <v>-23816037.104794379</v>
      </c>
      <c r="G14" s="199">
        <v>46203541.531039797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98"/>
      <c r="BF14" s="142"/>
    </row>
    <row r="15" spans="1:90" x14ac:dyDescent="0.25">
      <c r="A15" s="102"/>
      <c r="B15" s="105" t="s">
        <v>78</v>
      </c>
      <c r="C15" s="105" t="s">
        <v>94</v>
      </c>
      <c r="D15" s="199">
        <v>191228952.62748557</v>
      </c>
      <c r="E15" s="199">
        <v>209856460.60739988</v>
      </c>
      <c r="F15" s="199">
        <v>-80187892.975417718</v>
      </c>
      <c r="G15" s="199">
        <v>6830587.9820938548</v>
      </c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98"/>
    </row>
    <row r="16" spans="1:90" ht="13" x14ac:dyDescent="0.3">
      <c r="A16" s="102"/>
      <c r="B16" s="105" t="s">
        <v>79</v>
      </c>
      <c r="C16" s="105" t="s">
        <v>86</v>
      </c>
      <c r="D16" s="199">
        <v>37403368.562664844</v>
      </c>
      <c r="E16" s="199">
        <v>36494676.119251065</v>
      </c>
      <c r="F16" s="199">
        <v>-9759975.4508163556</v>
      </c>
      <c r="G16" s="199">
        <v>67545273.241129458</v>
      </c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98"/>
      <c r="BF16" s="115"/>
    </row>
    <row r="17" spans="1:84" x14ac:dyDescent="0.25">
      <c r="B17" s="105" t="s">
        <v>85</v>
      </c>
      <c r="C17" s="105" t="s">
        <v>87</v>
      </c>
      <c r="D17" s="199">
        <v>266386181.55310804</v>
      </c>
      <c r="E17" s="199">
        <v>267785321.17315042</v>
      </c>
      <c r="F17" s="199">
        <v>-61224085.872352861</v>
      </c>
      <c r="G17" s="199">
        <v>15309824.596625466</v>
      </c>
      <c r="H17" s="171"/>
      <c r="I17" s="171"/>
      <c r="J17" s="171"/>
      <c r="K17" s="171"/>
      <c r="L17" s="185"/>
      <c r="M17" s="185"/>
      <c r="N17" s="185"/>
      <c r="O17" s="185"/>
      <c r="P17" s="185"/>
      <c r="Q17" s="185"/>
      <c r="R17" s="185"/>
      <c r="S17" s="185"/>
      <c r="T17" s="185"/>
      <c r="U17" s="198"/>
      <c r="BF17" s="143"/>
    </row>
    <row r="18" spans="1:84" x14ac:dyDescent="0.25">
      <c r="B18" s="105" t="s">
        <v>97</v>
      </c>
      <c r="C18" s="105" t="str">
        <f>B18</f>
        <v>Weighted</v>
      </c>
      <c r="D18" s="200">
        <f t="shared" ref="D18:G18" si="1">IFERROR(AVERAGE(D14:D17),"")</f>
        <v>170834853.45425308</v>
      </c>
      <c r="E18" s="200">
        <f t="shared" si="1"/>
        <v>167010644.72140354</v>
      </c>
      <c r="F18" s="200">
        <f t="shared" si="1"/>
        <v>-43746997.850845329</v>
      </c>
      <c r="G18" s="200">
        <f t="shared" si="1"/>
        <v>33972306.837722145</v>
      </c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98"/>
      <c r="BF18" s="143"/>
    </row>
    <row r="19" spans="1:84" x14ac:dyDescent="0.25">
      <c r="A19" s="109"/>
      <c r="B19" s="175"/>
      <c r="C19" s="109"/>
      <c r="D19" s="177"/>
      <c r="E19" s="177"/>
      <c r="F19" s="177"/>
      <c r="G19" s="177"/>
      <c r="H19" s="177"/>
      <c r="I19" s="177"/>
      <c r="J19" s="177"/>
      <c r="K19" s="177"/>
      <c r="L19" s="176"/>
      <c r="M19" s="176"/>
      <c r="N19" s="176"/>
      <c r="O19" s="176"/>
      <c r="P19" s="176"/>
      <c r="Q19" s="176"/>
      <c r="R19" s="176"/>
      <c r="S19" s="176"/>
      <c r="T19" s="176"/>
      <c r="BF19" s="143"/>
    </row>
    <row r="20" spans="1:84" ht="13" x14ac:dyDescent="0.3">
      <c r="B20" s="104"/>
      <c r="C20" s="104"/>
      <c r="D20" s="279" t="s">
        <v>141</v>
      </c>
      <c r="E20" s="279"/>
      <c r="F20" s="279"/>
      <c r="G20" s="279"/>
      <c r="H20" s="278"/>
      <c r="I20" s="278"/>
      <c r="J20" s="278"/>
      <c r="K20" s="186"/>
      <c r="L20" s="186"/>
      <c r="M20" s="186"/>
      <c r="N20" s="186"/>
      <c r="O20" s="186"/>
      <c r="P20" s="186"/>
      <c r="Q20" s="186"/>
      <c r="R20" s="186"/>
      <c r="S20" s="128"/>
      <c r="T20" s="128"/>
      <c r="U20" s="191"/>
      <c r="BF20" s="143"/>
    </row>
    <row r="21" spans="1:84" ht="13" x14ac:dyDescent="0.3">
      <c r="B21" s="104" t="s">
        <v>45</v>
      </c>
      <c r="C21" s="104" t="str">
        <f>B21</f>
        <v>Scenario</v>
      </c>
      <c r="D21" s="107" t="str">
        <f>D$9</f>
        <v>Option 1A</v>
      </c>
      <c r="E21" s="107" t="str">
        <f t="shared" ref="E21:G21" si="2">E$9</f>
        <v>Option 1B</v>
      </c>
      <c r="F21" s="107" t="str">
        <f t="shared" si="2"/>
        <v>Option 1C</v>
      </c>
      <c r="G21" s="107" t="str">
        <f t="shared" si="2"/>
        <v>Option 1D</v>
      </c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92"/>
      <c r="BF21" s="143"/>
    </row>
    <row r="22" spans="1:84" x14ac:dyDescent="0.25">
      <c r="B22" s="105" t="s">
        <v>77</v>
      </c>
      <c r="C22" s="105" t="s">
        <v>93</v>
      </c>
      <c r="D22" s="199">
        <f t="shared" ref="D22:G26" si="3">D14/1000000</f>
        <v>188.32091107375388</v>
      </c>
      <c r="E22" s="199">
        <f t="shared" si="3"/>
        <v>153.90612098581283</v>
      </c>
      <c r="F22" s="199">
        <f t="shared" si="3"/>
        <v>-23.816037104794379</v>
      </c>
      <c r="G22" s="199">
        <f t="shared" si="3"/>
        <v>46.203541531039797</v>
      </c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92"/>
      <c r="BF22" s="143"/>
    </row>
    <row r="23" spans="1:84" x14ac:dyDescent="0.25">
      <c r="B23" s="105" t="s">
        <v>78</v>
      </c>
      <c r="C23" s="105" t="s">
        <v>94</v>
      </c>
      <c r="D23" s="199">
        <f t="shared" si="3"/>
        <v>191.22895262748557</v>
      </c>
      <c r="E23" s="199">
        <f t="shared" si="3"/>
        <v>209.85646060739987</v>
      </c>
      <c r="F23" s="199">
        <f t="shared" si="3"/>
        <v>-80.187892975417725</v>
      </c>
      <c r="G23" s="199">
        <f t="shared" si="3"/>
        <v>6.8305879820938546</v>
      </c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91"/>
    </row>
    <row r="24" spans="1:84" ht="13" x14ac:dyDescent="0.3">
      <c r="B24" s="105" t="s">
        <v>79</v>
      </c>
      <c r="C24" s="105" t="s">
        <v>86</v>
      </c>
      <c r="D24" s="199">
        <f t="shared" si="3"/>
        <v>37.403368562664845</v>
      </c>
      <c r="E24" s="199">
        <f t="shared" si="3"/>
        <v>36.494676119251068</v>
      </c>
      <c r="F24" s="199">
        <f t="shared" si="3"/>
        <v>-9.7599754508163556</v>
      </c>
      <c r="G24" s="199">
        <f t="shared" si="3"/>
        <v>67.545273241129465</v>
      </c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93"/>
      <c r="BF24" s="115"/>
      <c r="BV24" s="119"/>
      <c r="BW24" s="119"/>
      <c r="BX24" s="119"/>
      <c r="BY24" s="119"/>
      <c r="BZ24" s="119"/>
      <c r="CA24" s="119"/>
      <c r="CB24" s="119"/>
      <c r="CC24" s="119"/>
      <c r="CD24" s="119"/>
      <c r="CE24" s="119"/>
      <c r="CF24" s="119"/>
    </row>
    <row r="25" spans="1:84" x14ac:dyDescent="0.25">
      <c r="B25" s="105" t="s">
        <v>85</v>
      </c>
      <c r="C25" s="105" t="s">
        <v>87</v>
      </c>
      <c r="D25" s="199">
        <f t="shared" si="3"/>
        <v>266.38618155310803</v>
      </c>
      <c r="E25" s="199">
        <f t="shared" si="3"/>
        <v>267.78532117315041</v>
      </c>
      <c r="F25" s="199">
        <f t="shared" si="3"/>
        <v>-61.224085872352859</v>
      </c>
      <c r="G25" s="199">
        <f t="shared" si="3"/>
        <v>15.309824596625466</v>
      </c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94"/>
      <c r="BF25" s="143"/>
      <c r="BK25" s="125"/>
      <c r="BL25" s="125"/>
      <c r="BM25" s="125"/>
      <c r="BN25" s="125"/>
      <c r="BO25" s="125"/>
      <c r="BP25" s="125"/>
      <c r="BQ25" s="125"/>
      <c r="BR25" s="125"/>
      <c r="BS25" s="125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</row>
    <row r="26" spans="1:84" ht="13.5" thickBot="1" x14ac:dyDescent="0.35">
      <c r="B26" s="105" t="s">
        <v>97</v>
      </c>
      <c r="C26" s="105" t="s">
        <v>97</v>
      </c>
      <c r="D26" s="201">
        <f t="shared" si="3"/>
        <v>170.83485345425308</v>
      </c>
      <c r="E26" s="201">
        <f t="shared" si="3"/>
        <v>167.01064472140354</v>
      </c>
      <c r="F26" s="201">
        <f t="shared" si="3"/>
        <v>-43.746997850845332</v>
      </c>
      <c r="G26" s="201">
        <f t="shared" si="3"/>
        <v>33.972306837722144</v>
      </c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95"/>
      <c r="BF26" s="143"/>
      <c r="BK26" s="127"/>
      <c r="BL26" s="278"/>
      <c r="BM26" s="278"/>
      <c r="BN26" s="278"/>
      <c r="BO26" s="278"/>
      <c r="BP26" s="278"/>
      <c r="BQ26" s="278"/>
      <c r="BR26" s="125"/>
      <c r="BS26" s="125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</row>
    <row r="27" spans="1:84" x14ac:dyDescent="0.25">
      <c r="S27" s="109"/>
      <c r="T27" s="109"/>
      <c r="U27" s="141"/>
      <c r="BF27" s="143"/>
      <c r="BK27" s="129"/>
      <c r="BL27" s="130"/>
      <c r="BM27" s="130"/>
      <c r="BN27" s="130"/>
      <c r="BO27" s="130"/>
      <c r="BP27" s="130"/>
      <c r="BQ27" s="130"/>
      <c r="BR27" s="125"/>
      <c r="BS27" s="125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</row>
    <row r="28" spans="1:84" x14ac:dyDescent="0.25">
      <c r="T28" s="109"/>
      <c r="U28" s="141"/>
      <c r="BF28" s="143"/>
      <c r="BK28" s="129"/>
      <c r="BL28" s="130"/>
      <c r="BM28" s="130"/>
      <c r="BN28" s="130"/>
      <c r="BO28" s="130"/>
      <c r="BP28" s="130"/>
      <c r="BQ28" s="130"/>
      <c r="BR28" s="125"/>
      <c r="BS28" s="125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</row>
    <row r="29" spans="1:84" ht="13" x14ac:dyDescent="0.3">
      <c r="B29" s="103" t="s">
        <v>101</v>
      </c>
      <c r="C29" s="103"/>
      <c r="D29" s="110"/>
      <c r="E29" s="110"/>
      <c r="F29" s="110"/>
      <c r="G29" s="110"/>
      <c r="T29" s="109"/>
      <c r="BF29" s="143"/>
      <c r="BK29" s="129"/>
      <c r="BL29" s="130"/>
      <c r="BM29" s="130"/>
      <c r="BN29" s="130"/>
      <c r="BO29" s="130"/>
      <c r="BP29" s="130"/>
      <c r="BQ29" s="130"/>
      <c r="BR29" s="125"/>
      <c r="BS29" s="125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</row>
    <row r="30" spans="1:84" x14ac:dyDescent="0.25">
      <c r="D30" s="109"/>
      <c r="E30" s="109"/>
      <c r="F30" s="109"/>
      <c r="G30" s="109"/>
      <c r="T30" s="109"/>
      <c r="BK30" s="129"/>
      <c r="BL30" s="130"/>
      <c r="BM30" s="130"/>
      <c r="BN30" s="130"/>
      <c r="BO30" s="130"/>
      <c r="BP30" s="130"/>
      <c r="BQ30" s="130"/>
      <c r="BR30" s="125"/>
      <c r="BS30" s="125"/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</row>
    <row r="31" spans="1:84" ht="15.5" customHeight="1" x14ac:dyDescent="0.3">
      <c r="B31" s="104"/>
      <c r="C31" s="104"/>
      <c r="D31" s="279" t="s">
        <v>141</v>
      </c>
      <c r="E31" s="279"/>
      <c r="F31" s="279"/>
      <c r="G31" s="279"/>
      <c r="T31" s="109"/>
      <c r="BK31" s="129"/>
      <c r="BL31" s="130"/>
      <c r="BM31" s="130"/>
      <c r="BN31" s="130"/>
      <c r="BO31" s="130"/>
      <c r="BP31" s="130"/>
      <c r="BQ31" s="130"/>
      <c r="BR31" s="125"/>
      <c r="BS31" s="125"/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</row>
    <row r="32" spans="1:84" ht="13" x14ac:dyDescent="0.3">
      <c r="B32" s="104" t="s">
        <v>96</v>
      </c>
      <c r="C32" s="104"/>
      <c r="D32" s="107" t="str">
        <f>D$9</f>
        <v>Option 1A</v>
      </c>
      <c r="E32" s="107" t="str">
        <f t="shared" ref="E32:G32" si="4">E$9</f>
        <v>Option 1B</v>
      </c>
      <c r="F32" s="107" t="str">
        <f t="shared" si="4"/>
        <v>Option 1C</v>
      </c>
      <c r="G32" s="107" t="str">
        <f t="shared" si="4"/>
        <v>Option 1D</v>
      </c>
      <c r="T32" s="109"/>
      <c r="BF32" s="115"/>
      <c r="BK32" s="129"/>
      <c r="BL32" s="130"/>
      <c r="BM32" s="130"/>
      <c r="BN32" s="130"/>
      <c r="BO32" s="130"/>
      <c r="BP32" s="130"/>
      <c r="BQ32" s="130"/>
      <c r="BR32" s="126"/>
      <c r="BS32" s="126"/>
      <c r="BT32" s="115"/>
      <c r="BU32" s="115"/>
      <c r="BV32" s="115"/>
      <c r="BW32" s="115"/>
      <c r="BX32" s="115"/>
      <c r="BY32" s="115"/>
      <c r="BZ32" s="115"/>
      <c r="CA32" s="115"/>
      <c r="CB32" s="115"/>
      <c r="CC32" s="115"/>
      <c r="CD32" s="115"/>
      <c r="CE32" s="115"/>
      <c r="CF32" s="115"/>
    </row>
    <row r="33" spans="2:84" x14ac:dyDescent="0.25">
      <c r="B33" s="105" t="s">
        <v>103</v>
      </c>
      <c r="C33" s="105"/>
      <c r="D33" s="199">
        <f t="array" ref="D33:G33">TRANSPOSE(Calculation!F71:F74)</f>
        <v>-192639420.80652434</v>
      </c>
      <c r="E33" s="199">
        <v>-35192018.204508327</v>
      </c>
      <c r="F33" s="199">
        <v>-157447402.60201597</v>
      </c>
      <c r="G33" s="199">
        <v>-50036250.826911874</v>
      </c>
      <c r="T33" s="109"/>
      <c r="BF33" s="143"/>
      <c r="BK33" s="129"/>
      <c r="BL33" s="130"/>
      <c r="BM33" s="130"/>
      <c r="BN33" s="130"/>
      <c r="BO33" s="130"/>
      <c r="BP33" s="130"/>
      <c r="BQ33" s="130"/>
      <c r="BR33" s="125"/>
      <c r="BS33" s="125"/>
      <c r="BT33" s="116"/>
      <c r="BU33" s="116"/>
      <c r="BV33" s="116"/>
      <c r="BW33" s="116"/>
      <c r="BX33" s="116"/>
      <c r="BY33" s="116"/>
      <c r="BZ33" s="116"/>
      <c r="CA33" s="116"/>
      <c r="CB33" s="116"/>
      <c r="CC33" s="116"/>
      <c r="CD33" s="116"/>
      <c r="CE33" s="116"/>
      <c r="CF33" s="116"/>
    </row>
    <row r="34" spans="2:84" x14ac:dyDescent="0.25">
      <c r="B34" s="105" t="s">
        <v>104</v>
      </c>
      <c r="C34" s="105"/>
      <c r="D34" s="199">
        <f t="array" ref="D34:G34">TRANSPOSE(Calculation!F78:F81)</f>
        <v>-30335839.345870502</v>
      </c>
      <c r="E34" s="199">
        <v>-5074964.4631871413</v>
      </c>
      <c r="F34" s="199">
        <v>-25260874.882683363</v>
      </c>
      <c r="G34" s="199">
        <v>-6956198.3160466217</v>
      </c>
      <c r="T34" s="109"/>
      <c r="BF34" s="143"/>
      <c r="BK34" s="125"/>
      <c r="BL34" s="131"/>
      <c r="BM34" s="131"/>
      <c r="BN34" s="131"/>
      <c r="BO34" s="131"/>
      <c r="BP34" s="131"/>
      <c r="BQ34" s="131"/>
      <c r="BR34" s="125"/>
      <c r="BS34" s="125"/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</row>
    <row r="35" spans="2:84" ht="13" x14ac:dyDescent="0.3">
      <c r="B35" s="105" t="s">
        <v>98</v>
      </c>
      <c r="C35" s="105"/>
      <c r="D35" s="199">
        <f t="array" ref="D35:G35">TRANSPOSE(Calculation!F87:F90)</f>
        <v>7433268.2461585235</v>
      </c>
      <c r="E35" s="199">
        <v>-4246374.9892382054</v>
      </c>
      <c r="F35" s="199">
        <v>23657726.332188129</v>
      </c>
      <c r="G35" s="199">
        <v>12904865.374737756</v>
      </c>
      <c r="T35" s="109"/>
      <c r="BF35" s="143"/>
      <c r="BK35" s="127"/>
      <c r="BL35" s="278"/>
      <c r="BM35" s="278"/>
      <c r="BN35" s="278"/>
      <c r="BO35" s="278"/>
      <c r="BP35" s="278"/>
      <c r="BQ35" s="278"/>
      <c r="BR35" s="125"/>
      <c r="BS35" s="125"/>
      <c r="BT35" s="116"/>
      <c r="BU35" s="116"/>
      <c r="BV35" s="116"/>
      <c r="BW35" s="116"/>
      <c r="BX35" s="116"/>
      <c r="BY35" s="116"/>
      <c r="BZ35" s="116"/>
      <c r="CA35" s="116"/>
      <c r="CB35" s="116"/>
      <c r="CC35" s="116"/>
      <c r="CD35" s="116"/>
      <c r="CE35" s="116"/>
      <c r="CF35" s="116"/>
    </row>
    <row r="36" spans="2:84" ht="13" x14ac:dyDescent="0.3">
      <c r="B36" s="105" t="s">
        <v>100</v>
      </c>
      <c r="C36" s="105"/>
      <c r="D36" s="199">
        <f t="array" ref="D36:G36">TRANSPOSE(Calculation!F94:F97)</f>
        <v>26096271.043130614</v>
      </c>
      <c r="E36" s="199">
        <v>19941246.721018162</v>
      </c>
      <c r="F36" s="199">
        <v>-1475020.6571979159</v>
      </c>
      <c r="G36" s="199">
        <v>-1044279.0362697167</v>
      </c>
      <c r="T36" s="109"/>
      <c r="BF36" s="143"/>
      <c r="BK36" s="127"/>
      <c r="BL36" s="128"/>
      <c r="BM36" s="128"/>
      <c r="BN36" s="128"/>
      <c r="BO36" s="128"/>
      <c r="BP36" s="128"/>
      <c r="BQ36" s="128"/>
      <c r="BR36" s="125"/>
      <c r="BS36" s="125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</row>
    <row r="37" spans="2:84" x14ac:dyDescent="0.25">
      <c r="B37" s="105" t="s">
        <v>91</v>
      </c>
      <c r="C37" s="105"/>
      <c r="D37" s="199">
        <f t="array" ref="D37:G37">TRANSPOSE(Calculation!F101:F104)</f>
        <v>63457612.565589324</v>
      </c>
      <c r="E37" s="199">
        <v>100346748.82231346</v>
      </c>
      <c r="F37" s="199">
        <v>-22833466.472169761</v>
      </c>
      <c r="G37" s="199">
        <v>-6824647.3119368963</v>
      </c>
      <c r="T37" s="109"/>
      <c r="BF37" s="143"/>
      <c r="BK37" s="129"/>
      <c r="BL37" s="130"/>
      <c r="BM37" s="130"/>
      <c r="BN37" s="130"/>
      <c r="BO37" s="130"/>
      <c r="BP37" s="130"/>
      <c r="BQ37" s="130"/>
      <c r="BR37" s="125"/>
      <c r="BS37" s="125"/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</row>
    <row r="38" spans="2:84" x14ac:dyDescent="0.25">
      <c r="B38" s="105" t="s">
        <v>84</v>
      </c>
      <c r="C38" s="105"/>
      <c r="D38" s="199">
        <f t="array" ref="D38:G38">TRANSPOSE(Calculation!F108:F111)</f>
        <v>4112148.4597841837</v>
      </c>
      <c r="E38" s="199">
        <v>-173440.54009735951</v>
      </c>
      <c r="F38" s="199">
        <v>2565677.6858167774</v>
      </c>
      <c r="G38" s="199">
        <v>1090968.4305802207</v>
      </c>
      <c r="T38" s="109"/>
      <c r="BK38" s="129"/>
      <c r="BL38" s="130"/>
      <c r="BM38" s="130"/>
      <c r="BN38" s="130"/>
      <c r="BO38" s="130"/>
      <c r="BP38" s="130"/>
      <c r="BQ38" s="130"/>
      <c r="BR38" s="125"/>
      <c r="BS38" s="125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</row>
    <row r="39" spans="2:84" ht="13" x14ac:dyDescent="0.3">
      <c r="B39" s="105" t="s">
        <v>108</v>
      </c>
      <c r="C39" s="105"/>
      <c r="D39" s="199">
        <f t="array" ref="D39:G39">TRANSPOSE(Calculation!F115:F118)</f>
        <v>310220748.82365382</v>
      </c>
      <c r="E39" s="199">
        <v>78304923.639512256</v>
      </c>
      <c r="F39" s="199">
        <v>157001201.40343547</v>
      </c>
      <c r="G39" s="199">
        <v>97069083.216886893</v>
      </c>
      <c r="T39" s="109"/>
      <c r="BF39" s="115"/>
      <c r="BK39" s="129"/>
      <c r="BL39" s="130"/>
      <c r="BM39" s="130"/>
      <c r="BN39" s="130"/>
      <c r="BO39" s="130"/>
      <c r="BP39" s="130"/>
      <c r="BQ39" s="130"/>
      <c r="BR39" s="126"/>
      <c r="BS39" s="126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</row>
    <row r="40" spans="2:84" x14ac:dyDescent="0.25">
      <c r="D40" s="109"/>
      <c r="E40" s="109"/>
      <c r="F40" s="109"/>
      <c r="G40" s="109"/>
      <c r="T40" s="109"/>
      <c r="BF40" s="143"/>
      <c r="BK40" s="129"/>
      <c r="BL40" s="130"/>
      <c r="BM40" s="130"/>
      <c r="BN40" s="130"/>
      <c r="BO40" s="130"/>
      <c r="BP40" s="130"/>
      <c r="BQ40" s="130"/>
      <c r="BR40" s="125"/>
      <c r="BS40" s="125"/>
    </row>
    <row r="41" spans="2:84" ht="13" x14ac:dyDescent="0.3">
      <c r="B41" s="104"/>
      <c r="C41" s="104"/>
      <c r="D41" s="279" t="s">
        <v>141</v>
      </c>
      <c r="E41" s="279"/>
      <c r="F41" s="279"/>
      <c r="G41" s="279"/>
      <c r="T41" s="128"/>
      <c r="BF41" s="143"/>
      <c r="BK41" s="129"/>
      <c r="BL41" s="130"/>
      <c r="BM41" s="130"/>
      <c r="BN41" s="130"/>
      <c r="BO41" s="130"/>
      <c r="BP41" s="130"/>
      <c r="BQ41" s="130"/>
      <c r="BR41" s="125"/>
      <c r="BS41" s="125"/>
    </row>
    <row r="42" spans="2:84" ht="13" x14ac:dyDescent="0.3">
      <c r="B42" s="104" t="s">
        <v>93</v>
      </c>
      <c r="C42" s="104"/>
      <c r="D42" s="107" t="str">
        <f>D$9</f>
        <v>Option 1A</v>
      </c>
      <c r="E42" s="107" t="str">
        <f t="shared" ref="E42:G42" si="5">E$9</f>
        <v>Option 1B</v>
      </c>
      <c r="F42" s="107" t="str">
        <f t="shared" si="5"/>
        <v>Option 1C</v>
      </c>
      <c r="G42" s="107" t="str">
        <f t="shared" si="5"/>
        <v>Option 1D</v>
      </c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BF42" s="143"/>
      <c r="BK42" s="125"/>
      <c r="BL42" s="125"/>
      <c r="BM42" s="125"/>
      <c r="BN42" s="125"/>
      <c r="BO42" s="125"/>
      <c r="BP42" s="125"/>
      <c r="BQ42" s="125"/>
      <c r="BR42" s="125"/>
      <c r="BS42" s="125"/>
    </row>
    <row r="43" spans="2:84" ht="13" x14ac:dyDescent="0.3">
      <c r="B43" s="105" t="str">
        <f>$B$33</f>
        <v>Transmission capex</v>
      </c>
      <c r="C43" s="105"/>
      <c r="D43" s="199">
        <v>-192639420.80652434</v>
      </c>
      <c r="E43" s="199">
        <v>-35192018.204508327</v>
      </c>
      <c r="F43" s="199">
        <v>-157447402.60201597</v>
      </c>
      <c r="G43" s="199">
        <v>-50036250.826911874</v>
      </c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BF43" s="143"/>
      <c r="BK43" s="127"/>
      <c r="BL43" s="128"/>
      <c r="BM43" s="128"/>
      <c r="BN43" s="128"/>
      <c r="BO43" s="128"/>
      <c r="BP43" s="128"/>
      <c r="BQ43" s="128"/>
      <c r="BR43" s="125"/>
      <c r="BS43" s="125"/>
    </row>
    <row r="44" spans="2:84" x14ac:dyDescent="0.25">
      <c r="B44" s="105" t="str">
        <f>$B$34</f>
        <v>Transmission opex</v>
      </c>
      <c r="C44" s="105"/>
      <c r="D44" s="199">
        <v>-30359717.258038245</v>
      </c>
      <c r="E44" s="199">
        <v>-5074964.4631871413</v>
      </c>
      <c r="F44" s="199">
        <v>-25284752.794851098</v>
      </c>
      <c r="G44" s="199">
        <v>-6956198.3160466217</v>
      </c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BF44" s="143"/>
      <c r="BK44" s="129"/>
      <c r="BL44" s="130"/>
      <c r="BM44" s="130"/>
      <c r="BN44" s="130"/>
      <c r="BO44" s="130"/>
      <c r="BP44" s="130"/>
      <c r="BQ44" s="130"/>
      <c r="BR44" s="125"/>
      <c r="BS44" s="125"/>
    </row>
    <row r="45" spans="2:84" x14ac:dyDescent="0.25">
      <c r="B45" s="105" t="str">
        <f>$B$35</f>
        <v>Avoided unserved energy</v>
      </c>
      <c r="C45" s="105"/>
      <c r="D45" s="199">
        <v>7433268.2461585235</v>
      </c>
      <c r="E45" s="199">
        <v>-4246374.9892382054</v>
      </c>
      <c r="F45" s="199">
        <v>23657726.332188129</v>
      </c>
      <c r="G45" s="199">
        <v>12904865.374737756</v>
      </c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BK45" s="129"/>
      <c r="BL45" s="130"/>
      <c r="BM45" s="130"/>
      <c r="BN45" s="130"/>
      <c r="BO45" s="130"/>
      <c r="BP45" s="130"/>
      <c r="BQ45" s="130"/>
      <c r="BR45" s="125"/>
      <c r="BS45" s="125"/>
    </row>
    <row r="46" spans="2:84" x14ac:dyDescent="0.25">
      <c r="B46" s="105" t="str">
        <f>$B$36</f>
        <v>Avoided REZ transmission capex</v>
      </c>
      <c r="C46" s="105"/>
      <c r="D46" s="199">
        <v>26096271.043130614</v>
      </c>
      <c r="E46" s="199">
        <v>19941246.721018162</v>
      </c>
      <c r="F46" s="199">
        <v>-1475020.6571979159</v>
      </c>
      <c r="G46" s="199">
        <v>-1044279.0362697167</v>
      </c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BK46" s="129"/>
      <c r="BL46" s="130"/>
      <c r="BM46" s="130"/>
      <c r="BN46" s="130"/>
      <c r="BO46" s="130"/>
      <c r="BP46" s="130"/>
      <c r="BQ46" s="130"/>
      <c r="BR46" s="125"/>
      <c r="BS46" s="125"/>
    </row>
    <row r="47" spans="2:84" ht="13" x14ac:dyDescent="0.3">
      <c r="B47" s="105" t="str">
        <f>$B$37</f>
        <v>Avoided fuel costs</v>
      </c>
      <c r="C47" s="105"/>
      <c r="D47" s="199">
        <v>63457612.565589324</v>
      </c>
      <c r="E47" s="199">
        <v>100346748.82231346</v>
      </c>
      <c r="F47" s="199">
        <v>-22833466.472169761</v>
      </c>
      <c r="G47" s="199">
        <v>-6824647.3119368963</v>
      </c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BF47" s="117"/>
      <c r="BK47" s="125"/>
      <c r="BL47" s="125"/>
      <c r="BM47" s="125"/>
      <c r="BN47" s="125"/>
      <c r="BO47" s="125"/>
      <c r="BP47" s="125"/>
      <c r="BQ47" s="125"/>
      <c r="BR47" s="125"/>
      <c r="BS47" s="125"/>
    </row>
    <row r="48" spans="2:84" ht="13" x14ac:dyDescent="0.3">
      <c r="B48" s="105" t="str">
        <f>$B$38</f>
        <v>Avoided voluntary load curtailment</v>
      </c>
      <c r="C48" s="105"/>
      <c r="D48" s="199">
        <v>4112148.4597841837</v>
      </c>
      <c r="E48" s="199">
        <v>-173440.54009735951</v>
      </c>
      <c r="F48" s="199">
        <v>2565677.6858167774</v>
      </c>
      <c r="G48" s="199">
        <v>1090968.4305802207</v>
      </c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BF48" s="144"/>
      <c r="BK48" s="125"/>
      <c r="BL48" s="125"/>
      <c r="BM48" s="125"/>
      <c r="BN48" s="125"/>
      <c r="BO48" s="125"/>
      <c r="BP48" s="125"/>
      <c r="BQ48" s="125"/>
      <c r="BR48" s="125"/>
      <c r="BS48" s="125"/>
    </row>
    <row r="49" spans="2:58" x14ac:dyDescent="0.25">
      <c r="B49" s="105" t="str">
        <f>$B$39</f>
        <v>Avoided generation/storage costs (excl. fuel costs)</v>
      </c>
      <c r="C49" s="105"/>
      <c r="D49" s="202">
        <v>310220748.82365382</v>
      </c>
      <c r="E49" s="202">
        <v>78304923.639512256</v>
      </c>
      <c r="F49" s="202">
        <v>157001201.40343547</v>
      </c>
      <c r="G49" s="202">
        <v>97069083.216886893</v>
      </c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</row>
    <row r="50" spans="2:58" ht="13" x14ac:dyDescent="0.3">
      <c r="B50" s="105" t="s">
        <v>38</v>
      </c>
      <c r="C50" s="105"/>
      <c r="D50" s="199">
        <f>_xlfn.AGGREGATE(9,6,D43:D49)</f>
        <v>188320911.07375383</v>
      </c>
      <c r="E50" s="199">
        <f t="shared" ref="E50:G50" si="6">_xlfn.AGGREGATE(9,6,E43:E49)</f>
        <v>153906120.98581284</v>
      </c>
      <c r="F50" s="199">
        <f t="shared" si="6"/>
        <v>-23816037.104794383</v>
      </c>
      <c r="G50" s="199">
        <f t="shared" si="6"/>
        <v>46203541.531039767</v>
      </c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BF50" s="115"/>
    </row>
    <row r="51" spans="2:58" x14ac:dyDescent="0.25">
      <c r="D51" s="111"/>
      <c r="E51" s="111"/>
      <c r="F51" s="111"/>
      <c r="G51" s="111"/>
      <c r="H51" s="187"/>
      <c r="I51" s="187"/>
      <c r="J51" s="187"/>
      <c r="K51" s="187"/>
      <c r="L51" s="187"/>
      <c r="M51" s="187"/>
      <c r="N51" s="187"/>
      <c r="O51" s="187"/>
      <c r="P51" s="187"/>
      <c r="Q51" s="187"/>
      <c r="R51" s="187"/>
      <c r="S51" s="187"/>
      <c r="T51" s="187"/>
      <c r="BF51" s="142"/>
    </row>
    <row r="52" spans="2:58" x14ac:dyDescent="0.25">
      <c r="D52" s="111"/>
      <c r="E52" s="136"/>
      <c r="F52" s="111"/>
      <c r="G52" s="111"/>
      <c r="H52" s="187"/>
      <c r="I52" s="188"/>
      <c r="J52" s="125"/>
      <c r="K52" s="125"/>
      <c r="L52" s="125"/>
      <c r="M52" s="125"/>
      <c r="N52" s="125"/>
      <c r="O52" s="125"/>
      <c r="P52" s="125"/>
      <c r="Q52" s="125"/>
      <c r="R52" s="125"/>
      <c r="S52" s="189"/>
      <c r="T52" s="189"/>
      <c r="BF52" s="142"/>
    </row>
    <row r="53" spans="2:58" ht="13" x14ac:dyDescent="0.3">
      <c r="B53" s="104"/>
      <c r="C53" s="104"/>
      <c r="D53" s="279" t="s">
        <v>141</v>
      </c>
      <c r="E53" s="279"/>
      <c r="F53" s="279"/>
      <c r="G53" s="279"/>
      <c r="H53" s="278"/>
      <c r="I53" s="278"/>
      <c r="J53" s="278"/>
      <c r="K53" s="278"/>
      <c r="L53" s="278"/>
      <c r="M53" s="186"/>
      <c r="N53" s="186"/>
      <c r="O53" s="186"/>
      <c r="P53" s="182"/>
      <c r="Q53" s="182"/>
      <c r="R53" s="182"/>
      <c r="S53" s="128"/>
      <c r="T53" s="128"/>
      <c r="BF53" s="142"/>
    </row>
    <row r="54" spans="2:58" ht="13" x14ac:dyDescent="0.3">
      <c r="B54" s="104" t="s">
        <v>133</v>
      </c>
      <c r="C54" s="104"/>
      <c r="D54" s="107" t="str">
        <f>D$9</f>
        <v>Option 1A</v>
      </c>
      <c r="E54" s="107" t="str">
        <f t="shared" ref="E54:G54" si="7">E$9</f>
        <v>Option 1B</v>
      </c>
      <c r="F54" s="107" t="str">
        <f t="shared" si="7"/>
        <v>Option 1C</v>
      </c>
      <c r="G54" s="107" t="str">
        <f t="shared" si="7"/>
        <v>Option 1D</v>
      </c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BF54" s="142"/>
    </row>
    <row r="55" spans="2:58" x14ac:dyDescent="0.25">
      <c r="B55" s="105" t="str">
        <f>$B$33</f>
        <v>Transmission capex</v>
      </c>
      <c r="C55" s="105"/>
      <c r="D55" s="199">
        <v>-192639420.80652434</v>
      </c>
      <c r="E55" s="199">
        <v>-35192018.204508327</v>
      </c>
      <c r="F55" s="199">
        <v>-157447402.60201597</v>
      </c>
      <c r="G55" s="199">
        <v>-50036250.826911874</v>
      </c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BF55" s="142"/>
    </row>
    <row r="56" spans="2:58" x14ac:dyDescent="0.25">
      <c r="B56" s="105" t="str">
        <f>$B$34</f>
        <v>Transmission opex</v>
      </c>
      <c r="C56" s="105"/>
      <c r="D56" s="199">
        <v>-30359717.258038245</v>
      </c>
      <c r="E56" s="199">
        <v>-5074964.4631871413</v>
      </c>
      <c r="F56" s="199">
        <v>-25284752.794851098</v>
      </c>
      <c r="G56" s="199">
        <v>-6956198.3160466217</v>
      </c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BF56" s="145"/>
    </row>
    <row r="57" spans="2:58" ht="13" x14ac:dyDescent="0.3">
      <c r="B57" s="105" t="str">
        <f>$B$35</f>
        <v>Avoided unserved energy</v>
      </c>
      <c r="C57" s="105"/>
      <c r="D57" s="199">
        <v>7923449.8414313737</v>
      </c>
      <c r="E57" s="199">
        <v>-12497995.800964646</v>
      </c>
      <c r="F57" s="199">
        <v>16598834.347489329</v>
      </c>
      <c r="G57" s="199">
        <v>5110158.0920185484</v>
      </c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BF57" s="115"/>
    </row>
    <row r="58" spans="2:58" x14ac:dyDescent="0.25">
      <c r="B58" s="105" t="str">
        <f>$B$36</f>
        <v>Avoided REZ transmission capex</v>
      </c>
      <c r="C58" s="105"/>
      <c r="D58" s="199">
        <v>39097225.937965624</v>
      </c>
      <c r="E58" s="199">
        <v>36499951.910058014</v>
      </c>
      <c r="F58" s="199">
        <v>-10615401.149721107</v>
      </c>
      <c r="G58" s="199">
        <v>-6306551.6117596216</v>
      </c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BF58" s="142"/>
    </row>
    <row r="59" spans="2:58" x14ac:dyDescent="0.25">
      <c r="B59" s="105" t="str">
        <f>$B$37</f>
        <v>Avoided fuel costs</v>
      </c>
      <c r="C59" s="105"/>
      <c r="D59" s="199">
        <v>71277159.292602763</v>
      </c>
      <c r="E59" s="199">
        <v>55378619.789670087</v>
      </c>
      <c r="F59" s="199">
        <v>17759977.232122559</v>
      </c>
      <c r="G59" s="199">
        <v>14910495.221369322</v>
      </c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BF59" s="142"/>
    </row>
    <row r="60" spans="2:58" x14ac:dyDescent="0.25">
      <c r="B60" s="105" t="str">
        <f>$B$38</f>
        <v>Avoided voluntary load curtailment</v>
      </c>
      <c r="C60" s="105"/>
      <c r="D60" s="199">
        <v>32177867.027494472</v>
      </c>
      <c r="E60" s="199">
        <v>21139245.279566906</v>
      </c>
      <c r="F60" s="199">
        <v>6979162.2946051387</v>
      </c>
      <c r="G60" s="199">
        <v>1658574.4479903865</v>
      </c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BF60" s="142"/>
    </row>
    <row r="61" spans="2:58" x14ac:dyDescent="0.25">
      <c r="B61" s="105" t="str">
        <f>$B$39</f>
        <v>Avoided generation/storage costs (excl. fuel costs)</v>
      </c>
      <c r="C61" s="105"/>
      <c r="D61" s="202">
        <v>263752388.59255403</v>
      </c>
      <c r="E61" s="202">
        <v>149603622.09676498</v>
      </c>
      <c r="F61" s="202">
        <v>71821689.696953431</v>
      </c>
      <c r="G61" s="202">
        <v>48450360.975433685</v>
      </c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BF61" s="142"/>
    </row>
    <row r="62" spans="2:58" x14ac:dyDescent="0.25">
      <c r="B62" s="105" t="s">
        <v>38</v>
      </c>
      <c r="C62" s="105"/>
      <c r="D62" s="199">
        <f>_xlfn.AGGREGATE(9,6,D55:D61)</f>
        <v>191228952.62748569</v>
      </c>
      <c r="E62" s="199">
        <f t="shared" ref="E62" si="8">_xlfn.AGGREGATE(9,6,E55:E61)</f>
        <v>209856460.60739988</v>
      </c>
      <c r="F62" s="199">
        <f t="shared" ref="F62" si="9">_xlfn.AGGREGATE(9,6,F55:F61)</f>
        <v>-80187892.975417718</v>
      </c>
      <c r="G62" s="199">
        <f t="shared" ref="G62" si="10">_xlfn.AGGREGATE(9,6,G55:G61)</f>
        <v>6830587.9820938334</v>
      </c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BF62" s="142"/>
    </row>
    <row r="63" spans="2:58" x14ac:dyDescent="0.25">
      <c r="D63" s="111"/>
      <c r="E63" s="111"/>
      <c r="F63" s="111"/>
      <c r="G63" s="111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BF63" s="145"/>
    </row>
    <row r="64" spans="2:58" ht="13" x14ac:dyDescent="0.3">
      <c r="D64" s="111"/>
      <c r="E64" s="111"/>
      <c r="F64" s="111"/>
      <c r="G64" s="111"/>
      <c r="H64" s="187"/>
      <c r="I64" s="187"/>
      <c r="J64" s="125"/>
      <c r="K64" s="125"/>
      <c r="L64" s="125"/>
      <c r="M64" s="125"/>
      <c r="N64" s="125"/>
      <c r="O64" s="125"/>
      <c r="P64" s="125"/>
      <c r="Q64" s="125"/>
      <c r="R64" s="125"/>
      <c r="S64" s="189"/>
      <c r="T64" s="189"/>
      <c r="BF64" s="115"/>
    </row>
    <row r="65" spans="2:61" ht="13" x14ac:dyDescent="0.3">
      <c r="B65" s="104"/>
      <c r="C65" s="104"/>
      <c r="D65" s="279" t="s">
        <v>141</v>
      </c>
      <c r="E65" s="279"/>
      <c r="F65" s="279"/>
      <c r="G65" s="279"/>
      <c r="H65" s="278"/>
      <c r="I65" s="278"/>
      <c r="J65" s="278"/>
      <c r="K65" s="278"/>
      <c r="L65" s="278"/>
      <c r="M65" s="186"/>
      <c r="N65" s="186"/>
      <c r="O65" s="186"/>
      <c r="P65" s="182"/>
      <c r="Q65" s="182"/>
      <c r="R65" s="182"/>
      <c r="S65" s="128"/>
      <c r="T65" s="128"/>
      <c r="BF65" s="142"/>
    </row>
    <row r="66" spans="2:61" ht="13" x14ac:dyDescent="0.3">
      <c r="B66" s="104" t="s">
        <v>86</v>
      </c>
      <c r="C66" s="104"/>
      <c r="D66" s="107" t="str">
        <f>D$9</f>
        <v>Option 1A</v>
      </c>
      <c r="E66" s="107" t="str">
        <f t="shared" ref="E66:G66" si="11">E$9</f>
        <v>Option 1B</v>
      </c>
      <c r="F66" s="107" t="str">
        <f t="shared" si="11"/>
        <v>Option 1C</v>
      </c>
      <c r="G66" s="107" t="str">
        <f t="shared" si="11"/>
        <v>Option 1D</v>
      </c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BF66" s="142"/>
    </row>
    <row r="67" spans="2:61" x14ac:dyDescent="0.25">
      <c r="B67" s="105" t="str">
        <f>$B$33</f>
        <v>Transmission capex</v>
      </c>
      <c r="C67" s="105"/>
      <c r="D67" s="199">
        <v>-192639420.80652434</v>
      </c>
      <c r="E67" s="199">
        <v>-35192018.204508327</v>
      </c>
      <c r="F67" s="199">
        <v>-157447402.60201597</v>
      </c>
      <c r="G67" s="199">
        <v>-50036250.826911874</v>
      </c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X67" s="111"/>
      <c r="BF67" s="142"/>
    </row>
    <row r="68" spans="2:61" ht="13" x14ac:dyDescent="0.3">
      <c r="B68" s="105" t="str">
        <f>$B$34</f>
        <v>Transmission opex</v>
      </c>
      <c r="C68" s="105"/>
      <c r="D68" s="199">
        <v>-30359717.258038245</v>
      </c>
      <c r="E68" s="199">
        <v>-5074964.4631871413</v>
      </c>
      <c r="F68" s="199">
        <v>-25284752.794851098</v>
      </c>
      <c r="G68" s="199">
        <v>-6956198.3160466217</v>
      </c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AD68" s="139"/>
      <c r="BF68" s="142"/>
    </row>
    <row r="69" spans="2:61" x14ac:dyDescent="0.25">
      <c r="B69" s="105" t="str">
        <f>$B$35</f>
        <v>Avoided unserved energy</v>
      </c>
      <c r="C69" s="105"/>
      <c r="D69" s="199">
        <v>6776426.0058996119</v>
      </c>
      <c r="E69" s="199">
        <v>1216215.1144045515</v>
      </c>
      <c r="F69" s="199">
        <v>4650599.5077566141</v>
      </c>
      <c r="G69" s="199">
        <v>1525.5359087470665</v>
      </c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X69" s="101"/>
      <c r="Y69" s="101"/>
      <c r="Z69" s="101"/>
      <c r="AA69" s="101"/>
      <c r="AB69" s="101"/>
      <c r="AC69" s="101"/>
      <c r="BF69" s="142"/>
    </row>
    <row r="70" spans="2:61" x14ac:dyDescent="0.25">
      <c r="B70" s="105" t="str">
        <f>$B$36</f>
        <v>Avoided REZ transmission capex</v>
      </c>
      <c r="C70" s="105"/>
      <c r="D70" s="199">
        <v>9312442.8615150265</v>
      </c>
      <c r="E70" s="199">
        <v>2902103.0336725041</v>
      </c>
      <c r="F70" s="199">
        <v>853687.53357999504</v>
      </c>
      <c r="G70" s="199">
        <v>697356.3366772671</v>
      </c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X70" s="101"/>
      <c r="Y70" s="101"/>
      <c r="Z70" s="101"/>
      <c r="AA70" s="101"/>
      <c r="AB70" s="101"/>
      <c r="AC70" s="101"/>
      <c r="BF70" s="145"/>
    </row>
    <row r="71" spans="2:61" ht="13" x14ac:dyDescent="0.3">
      <c r="B71" s="105" t="str">
        <f>$B$37</f>
        <v>Avoided fuel costs</v>
      </c>
      <c r="C71" s="105"/>
      <c r="D71" s="199">
        <v>58799352.849063903</v>
      </c>
      <c r="E71" s="199">
        <v>96441769.403781801</v>
      </c>
      <c r="F71" s="199">
        <v>-41021351.455087334</v>
      </c>
      <c r="G71" s="199">
        <v>-27396666.928928148</v>
      </c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X71" s="101"/>
      <c r="Y71" s="101"/>
      <c r="Z71" s="101"/>
      <c r="AA71" s="101"/>
      <c r="AB71" s="101"/>
      <c r="AC71" s="101"/>
      <c r="BF71" s="115"/>
    </row>
    <row r="72" spans="2:61" x14ac:dyDescent="0.25">
      <c r="B72" s="105" t="str">
        <f>$B$38</f>
        <v>Avoided voluntary load curtailment</v>
      </c>
      <c r="C72" s="105"/>
      <c r="D72" s="199">
        <v>-367204.03395151329</v>
      </c>
      <c r="E72" s="199">
        <v>-449183.73239945289</v>
      </c>
      <c r="F72" s="199">
        <v>230603.04267177227</v>
      </c>
      <c r="G72" s="199">
        <v>-205072.57169838468</v>
      </c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X72" s="101"/>
      <c r="Y72" s="101"/>
      <c r="Z72" s="101"/>
      <c r="AA72" s="101"/>
      <c r="AB72" s="101"/>
      <c r="AC72" s="101"/>
      <c r="BF72" s="142"/>
    </row>
    <row r="73" spans="2:61" x14ac:dyDescent="0.25">
      <c r="B73" s="105" t="str">
        <f>$B$39</f>
        <v>Avoided generation/storage costs (excl. fuel costs)</v>
      </c>
      <c r="C73" s="105"/>
      <c r="D73" s="202">
        <v>185881488.94470039</v>
      </c>
      <c r="E73" s="202">
        <v>-23349245.032512873</v>
      </c>
      <c r="F73" s="202">
        <v>208258641.31712979</v>
      </c>
      <c r="G73" s="202">
        <v>151440580.01212847</v>
      </c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X73" s="101"/>
      <c r="Y73" s="101"/>
      <c r="Z73" s="101"/>
      <c r="AA73" s="101"/>
      <c r="AB73" s="101"/>
      <c r="AC73" s="101"/>
      <c r="BF73" s="142"/>
    </row>
    <row r="74" spans="2:61" x14ac:dyDescent="0.25">
      <c r="B74" s="105" t="s">
        <v>38</v>
      </c>
      <c r="C74" s="105"/>
      <c r="D74" s="199">
        <f>_xlfn.AGGREGATE(9,6,D67:D73)</f>
        <v>37403368.562664807</v>
      </c>
      <c r="E74" s="199">
        <f t="shared" ref="E74" si="12">_xlfn.AGGREGATE(9,6,E67:E73)</f>
        <v>36494676.119251058</v>
      </c>
      <c r="F74" s="199">
        <f t="shared" ref="F74" si="13">_xlfn.AGGREGATE(9,6,F67:F73)</f>
        <v>-9759975.4508162141</v>
      </c>
      <c r="G74" s="199">
        <f t="shared" ref="G74" si="14">_xlfn.AGGREGATE(9,6,G67:G73)</f>
        <v>67545273.241129458</v>
      </c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X74" s="101"/>
      <c r="Y74" s="101"/>
      <c r="Z74" s="101"/>
      <c r="AA74" s="101"/>
      <c r="AB74" s="101"/>
      <c r="AC74" s="101"/>
      <c r="BF74" s="142"/>
      <c r="BG74" s="124"/>
      <c r="BH74" s="124"/>
      <c r="BI74" s="124"/>
    </row>
    <row r="75" spans="2:61" x14ac:dyDescent="0.25"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X75" s="101"/>
      <c r="Y75" s="101"/>
      <c r="Z75" s="101"/>
      <c r="AA75" s="101"/>
      <c r="AB75" s="101"/>
      <c r="AC75" s="101"/>
      <c r="BF75" s="142"/>
      <c r="BG75" s="124"/>
      <c r="BH75" s="124"/>
      <c r="BI75" s="124"/>
    </row>
    <row r="76" spans="2:61" x14ac:dyDescent="0.25">
      <c r="D76" s="111"/>
      <c r="E76" s="109"/>
      <c r="F76" s="109"/>
      <c r="G76" s="109"/>
      <c r="H76" s="109"/>
      <c r="I76" s="109"/>
      <c r="S76" s="109"/>
      <c r="T76" s="109"/>
      <c r="V76" s="102"/>
      <c r="W76" s="102"/>
      <c r="X76" s="102"/>
      <c r="Y76" s="102"/>
      <c r="Z76" s="102"/>
      <c r="AA76" s="102"/>
      <c r="AB76" s="102"/>
      <c r="AC76" s="102"/>
      <c r="AD76" s="102"/>
      <c r="BF76" s="142"/>
      <c r="BG76" s="124"/>
      <c r="BH76" s="124"/>
      <c r="BI76" s="124"/>
    </row>
    <row r="77" spans="2:61" ht="13" x14ac:dyDescent="0.3">
      <c r="B77" s="104"/>
      <c r="C77" s="104"/>
      <c r="D77" s="279" t="s">
        <v>141</v>
      </c>
      <c r="E77" s="279"/>
      <c r="F77" s="279"/>
      <c r="G77" s="279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X77" s="101"/>
      <c r="Y77" s="101"/>
      <c r="Z77" s="101"/>
      <c r="AA77" s="101"/>
      <c r="AB77" s="101"/>
      <c r="AC77" s="101"/>
      <c r="BF77" s="145"/>
      <c r="BG77" s="124"/>
      <c r="BH77" s="124"/>
      <c r="BI77" s="124"/>
    </row>
    <row r="78" spans="2:61" ht="13" x14ac:dyDescent="0.3">
      <c r="B78" s="104" t="s">
        <v>87</v>
      </c>
      <c r="C78" s="104"/>
      <c r="D78" s="107" t="str">
        <f>D$9</f>
        <v>Option 1A</v>
      </c>
      <c r="E78" s="107" t="str">
        <f t="shared" ref="E78:G78" si="15">E$9</f>
        <v>Option 1B</v>
      </c>
      <c r="F78" s="107" t="str">
        <f t="shared" si="15"/>
        <v>Option 1C</v>
      </c>
      <c r="G78" s="107" t="str">
        <f t="shared" si="15"/>
        <v>Option 1D</v>
      </c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X78" s="101"/>
      <c r="Y78" s="101"/>
      <c r="Z78" s="101"/>
      <c r="AA78" s="101"/>
      <c r="AB78" s="101"/>
      <c r="AC78" s="101"/>
      <c r="BG78" s="124"/>
      <c r="BH78" s="124"/>
      <c r="BI78" s="124"/>
    </row>
    <row r="79" spans="2:61" ht="13" x14ac:dyDescent="0.3">
      <c r="B79" s="105" t="str">
        <f>$B$33</f>
        <v>Transmission capex</v>
      </c>
      <c r="C79" s="105"/>
      <c r="D79" s="199">
        <v>-192639420.80652434</v>
      </c>
      <c r="E79" s="199">
        <v>-35192018.204508327</v>
      </c>
      <c r="F79" s="199">
        <v>-157447402.60201597</v>
      </c>
      <c r="G79" s="199">
        <v>-50036250.826911874</v>
      </c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X79" s="101"/>
      <c r="Y79" s="101"/>
      <c r="Z79" s="101"/>
      <c r="AA79" s="101"/>
      <c r="AB79" s="101"/>
      <c r="AC79" s="101"/>
      <c r="BF79" s="117"/>
      <c r="BG79" s="124"/>
      <c r="BH79" s="124"/>
      <c r="BI79" s="124"/>
    </row>
    <row r="80" spans="2:61" ht="13" x14ac:dyDescent="0.3">
      <c r="B80" s="105" t="str">
        <f>$B$34</f>
        <v>Transmission opex</v>
      </c>
      <c r="C80" s="105"/>
      <c r="D80" s="199">
        <v>-30359717.258038245</v>
      </c>
      <c r="E80" s="199">
        <v>-5074964.4631871413</v>
      </c>
      <c r="F80" s="199">
        <v>-25284752.794851098</v>
      </c>
      <c r="G80" s="199">
        <v>-6956198.3160466217</v>
      </c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X80" s="101"/>
      <c r="Y80" s="101"/>
      <c r="Z80" s="101"/>
      <c r="AA80" s="101"/>
      <c r="AB80" s="101"/>
      <c r="AC80" s="101"/>
      <c r="BF80" s="144"/>
      <c r="BG80" s="124"/>
      <c r="BH80" s="124"/>
      <c r="BI80" s="124"/>
    </row>
    <row r="81" spans="2:61" x14ac:dyDescent="0.25">
      <c r="B81" s="105" t="str">
        <f>$B$35</f>
        <v>Avoided unserved energy</v>
      </c>
      <c r="C81" s="105"/>
      <c r="D81" s="199">
        <v>-34841473.275589138</v>
      </c>
      <c r="E81" s="199">
        <v>-20968410.452113144</v>
      </c>
      <c r="F81" s="199">
        <v>-9458920.0540778246</v>
      </c>
      <c r="G81" s="199">
        <v>-7266519.3097975766</v>
      </c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X81" s="101"/>
      <c r="Y81" s="101"/>
      <c r="Z81" s="101"/>
      <c r="AA81" s="101"/>
      <c r="AB81" s="101"/>
      <c r="AC81" s="101"/>
      <c r="BG81" s="124"/>
      <c r="BH81" s="124"/>
      <c r="BI81" s="124"/>
    </row>
    <row r="82" spans="2:61" ht="13" x14ac:dyDescent="0.3">
      <c r="B82" s="105" t="str">
        <f>$B$36</f>
        <v>Avoided REZ transmission capex</v>
      </c>
      <c r="C82" s="105"/>
      <c r="D82" s="199">
        <v>39482133.726651855</v>
      </c>
      <c r="E82" s="199">
        <v>34763804.861335568</v>
      </c>
      <c r="F82" s="199">
        <v>-9094246.9011167642</v>
      </c>
      <c r="G82" s="199">
        <v>-4777975.9183316585</v>
      </c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X82" s="101"/>
      <c r="Y82" s="101"/>
      <c r="Z82" s="101"/>
      <c r="AA82" s="101"/>
      <c r="AB82" s="101"/>
      <c r="AC82" s="101"/>
      <c r="BF82" s="115"/>
      <c r="BG82" s="124"/>
      <c r="BH82" s="124"/>
      <c r="BI82" s="124"/>
    </row>
    <row r="83" spans="2:61" x14ac:dyDescent="0.25">
      <c r="B83" s="105" t="str">
        <f>$B$37</f>
        <v>Avoided fuel costs</v>
      </c>
      <c r="C83" s="105"/>
      <c r="D83" s="199">
        <v>114642151.1037425</v>
      </c>
      <c r="E83" s="199">
        <v>118440990.70081118</v>
      </c>
      <c r="F83" s="199">
        <v>-13188803.204059219</v>
      </c>
      <c r="G83" s="199">
        <v>-5365364.503858746</v>
      </c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X83" s="101"/>
      <c r="Y83" s="101"/>
      <c r="Z83" s="101"/>
      <c r="AA83" s="101"/>
      <c r="AB83" s="101"/>
      <c r="AC83" s="101"/>
      <c r="BF83" s="142"/>
      <c r="BG83" s="124"/>
      <c r="BH83" s="124"/>
      <c r="BI83" s="124"/>
    </row>
    <row r="84" spans="2:61" x14ac:dyDescent="0.25">
      <c r="B84" s="105" t="str">
        <f>$B$38</f>
        <v>Avoided voluntary load curtailment</v>
      </c>
      <c r="C84" s="105"/>
      <c r="D84" s="199">
        <v>-1071709.5504431652</v>
      </c>
      <c r="E84" s="199">
        <v>1454120.8038329892</v>
      </c>
      <c r="F84" s="199">
        <v>-2040505.1635431892</v>
      </c>
      <c r="G84" s="199">
        <v>369842.78426902177</v>
      </c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X84" s="101"/>
      <c r="Y84" s="101"/>
      <c r="Z84" s="101"/>
      <c r="AA84" s="101"/>
      <c r="AB84" s="101"/>
      <c r="AC84" s="101"/>
      <c r="BF84" s="142"/>
      <c r="BG84" s="124"/>
      <c r="BH84" s="124"/>
      <c r="BI84" s="124"/>
    </row>
    <row r="85" spans="2:61" x14ac:dyDescent="0.25">
      <c r="B85" s="105" t="str">
        <f>$B$39</f>
        <v>Avoided generation/storage costs (excl. fuel costs)</v>
      </c>
      <c r="C85" s="105"/>
      <c r="D85" s="202">
        <v>371174217.61330879</v>
      </c>
      <c r="E85" s="202">
        <v>174361797.92697933</v>
      </c>
      <c r="F85" s="202">
        <v>155290544.84731123</v>
      </c>
      <c r="G85" s="202">
        <v>89342290.687302932</v>
      </c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X85" s="101"/>
      <c r="Y85" s="101"/>
      <c r="Z85" s="101"/>
      <c r="AA85" s="101"/>
      <c r="AB85" s="101"/>
      <c r="AC85" s="101"/>
      <c r="BF85" s="142"/>
      <c r="BG85" s="124"/>
      <c r="BH85" s="124"/>
      <c r="BI85" s="124"/>
    </row>
    <row r="86" spans="2:61" x14ac:dyDescent="0.25">
      <c r="B86" s="105" t="s">
        <v>38</v>
      </c>
      <c r="C86" s="105"/>
      <c r="D86" s="199">
        <f>_xlfn.AGGREGATE(9,6,D79:D85)</f>
        <v>266386181.55310822</v>
      </c>
      <c r="E86" s="199">
        <f t="shared" ref="E86" si="16">_xlfn.AGGREGATE(9,6,E79:E85)</f>
        <v>267785321.17315048</v>
      </c>
      <c r="F86" s="199">
        <f t="shared" ref="F86" si="17">_xlfn.AGGREGATE(9,6,F79:F85)</f>
        <v>-61224085.872352839</v>
      </c>
      <c r="G86" s="199">
        <f t="shared" ref="G86" si="18">_xlfn.AGGREGATE(9,6,G79:G85)</f>
        <v>15309824.596625477</v>
      </c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V86" s="102"/>
      <c r="W86" s="102"/>
      <c r="X86" s="102"/>
      <c r="Y86" s="102"/>
      <c r="Z86" s="102"/>
      <c r="AA86" s="102"/>
      <c r="AB86" s="102"/>
      <c r="AC86" s="102"/>
      <c r="AD86" s="102"/>
      <c r="BF86" s="142"/>
    </row>
    <row r="87" spans="2:61" x14ac:dyDescent="0.25"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X87" s="101"/>
      <c r="Y87" s="101"/>
      <c r="Z87" s="101"/>
      <c r="AA87" s="101"/>
      <c r="AB87" s="101"/>
      <c r="AC87" s="101"/>
      <c r="BF87" s="142"/>
    </row>
    <row r="88" spans="2:61" ht="13" x14ac:dyDescent="0.3">
      <c r="BF88" s="115"/>
    </row>
    <row r="89" spans="2:61" ht="13" x14ac:dyDescent="0.3">
      <c r="B89" s="103" t="s">
        <v>99</v>
      </c>
      <c r="C89" s="103"/>
      <c r="D89" s="103"/>
      <c r="E89" s="164" t="str">
        <f>INDEX($D$13:$G$13,,MATCH(MAX($D$18:$G$18),$D$18:$G$18,0))</f>
        <v>Option 1A</v>
      </c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BD89" s="142"/>
      <c r="BF89" s="101"/>
    </row>
    <row r="90" spans="2:61" ht="13" x14ac:dyDescent="0.3">
      <c r="B90" s="104" t="str">
        <f>B14</f>
        <v>Scenario 1</v>
      </c>
      <c r="C90" s="104"/>
      <c r="D90" s="107" t="str">
        <f>Calculation!G$33</f>
        <v>2019-20</v>
      </c>
      <c r="E90" s="107" t="str">
        <f>Calculation!H$33</f>
        <v>2020-21</v>
      </c>
      <c r="F90" s="107" t="str">
        <f>Calculation!I$33</f>
        <v>2021-22</v>
      </c>
      <c r="G90" s="107" t="str">
        <f>Calculation!J$33</f>
        <v>2022-23</v>
      </c>
      <c r="H90" s="107" t="str">
        <f>Calculation!K$33</f>
        <v>2023-24</v>
      </c>
      <c r="I90" s="107" t="str">
        <f>Calculation!L$33</f>
        <v>2024-25</v>
      </c>
      <c r="J90" s="107" t="str">
        <f>Calculation!M$33</f>
        <v>2025-26</v>
      </c>
      <c r="K90" s="107" t="str">
        <f>Calculation!N$33</f>
        <v>2026-27</v>
      </c>
      <c r="L90" s="107" t="str">
        <f>Calculation!O$33</f>
        <v>2027-28</v>
      </c>
      <c r="M90" s="107" t="str">
        <f>Calculation!P$33</f>
        <v>2028-29</v>
      </c>
      <c r="N90" s="107" t="str">
        <f>Calculation!Q$33</f>
        <v>2029-30</v>
      </c>
      <c r="O90" s="107" t="str">
        <f>Calculation!R$33</f>
        <v>2030-31</v>
      </c>
      <c r="P90" s="107" t="str">
        <f>Calculation!S$33</f>
        <v>2031-32</v>
      </c>
      <c r="Q90" s="107" t="str">
        <f>Calculation!T$33</f>
        <v>2032-33</v>
      </c>
      <c r="R90" s="107" t="str">
        <f>Calculation!U$33</f>
        <v>2033-34</v>
      </c>
      <c r="S90" s="107" t="str">
        <f>Calculation!V$33</f>
        <v>2034-35</v>
      </c>
      <c r="T90" s="107" t="str">
        <f>Calculation!W$33</f>
        <v>2035-36</v>
      </c>
      <c r="U90" s="107" t="str">
        <f>Calculation!X$33</f>
        <v>2036-37</v>
      </c>
      <c r="V90" s="107" t="str">
        <f>Calculation!Y$33</f>
        <v>2037-38</v>
      </c>
      <c r="W90" s="107" t="str">
        <f>Calculation!Z$33</f>
        <v>2038-39</v>
      </c>
      <c r="X90" s="107" t="str">
        <f>Calculation!AA$33</f>
        <v>2039-40</v>
      </c>
      <c r="Y90" s="107" t="str">
        <f>Calculation!AB$33</f>
        <v>2040-41</v>
      </c>
      <c r="Z90" s="107" t="str">
        <f>Calculation!AC$33</f>
        <v>2041-42</v>
      </c>
      <c r="AA90" s="107" t="str">
        <f>Calculation!AD$33</f>
        <v>2042-43</v>
      </c>
      <c r="AB90" s="107" t="str">
        <f>Calculation!AE$33</f>
        <v>2043-44</v>
      </c>
      <c r="AC90" s="107" t="str">
        <f>Calculation!AF$33</f>
        <v>2044-45</v>
      </c>
      <c r="BD90" s="142"/>
      <c r="BF90" s="101"/>
    </row>
    <row r="91" spans="2:61" x14ac:dyDescent="0.25">
      <c r="B91" s="105" t="str">
        <f>$B$35</f>
        <v>Avoided unserved energy</v>
      </c>
      <c r="C91" s="105"/>
      <c r="D91" s="203">
        <f>SUMIF('Weighted calculations'!$B$34:$B$37,$E$89,'Weighted calculations'!E$34:E$37)</f>
        <v>0</v>
      </c>
      <c r="E91" s="203">
        <f>SUMIF('Weighted calculations'!$B$34:$B$37,$E$89,'Weighted calculations'!F$34:F$37)</f>
        <v>0.38766966154798865</v>
      </c>
      <c r="F91" s="203">
        <f>SUMIF('Weighted calculations'!$B$34:$B$37,$E$89,'Weighted calculations'!G$34:G$37)</f>
        <v>-0.88129361905157566</v>
      </c>
      <c r="G91" s="203">
        <f>SUMIF('Weighted calculations'!$B$34:$B$37,$E$89,'Weighted calculations'!H$34:H$37)</f>
        <v>-537096.66099381447</v>
      </c>
      <c r="H91" s="203">
        <f>SUMIF('Weighted calculations'!$B$34:$B$37,$E$89,'Weighted calculations'!I$34:I$37)</f>
        <v>10366762.414264672</v>
      </c>
      <c r="I91" s="203">
        <f>SUMIF('Weighted calculations'!$B$34:$B$37,$E$89,'Weighted calculations'!J$34:J$37)</f>
        <v>5337556.9975983799</v>
      </c>
      <c r="J91" s="203">
        <f>SUMIF('Weighted calculations'!$B$34:$B$37,$E$89,'Weighted calculations'!K$34:K$37)</f>
        <v>1.0570264596427119</v>
      </c>
      <c r="K91" s="203">
        <f>SUMIF('Weighted calculations'!$B$34:$B$37,$E$89,'Weighted calculations'!L$34:L$37)</f>
        <v>1.119371473932453</v>
      </c>
      <c r="L91" s="203">
        <f>SUMIF('Weighted calculations'!$B$34:$B$37,$E$89,'Weighted calculations'!M$34:M$37)</f>
        <v>1.1888004023354493</v>
      </c>
      <c r="M91" s="203">
        <f>SUMIF('Weighted calculations'!$B$34:$B$37,$E$89,'Weighted calculations'!N$34:N$37)</f>
        <v>-3568513.7924693823</v>
      </c>
      <c r="N91" s="203">
        <f>SUMIF('Weighted calculations'!$B$34:$B$37,$E$89,'Weighted calculations'!O$34:O$37)</f>
        <v>-559392.11505481601</v>
      </c>
      <c r="O91" s="203">
        <f>SUMIF('Weighted calculations'!$B$34:$B$37,$E$89,'Weighted calculations'!P$34:P$37)</f>
        <v>809110.50963641517</v>
      </c>
      <c r="P91" s="203">
        <f>SUMIF('Weighted calculations'!$B$34:$B$37,$E$89,'Weighted calculations'!Q$34:Q$37)</f>
        <v>-218937.45602569915</v>
      </c>
      <c r="Q91" s="203">
        <f>SUMIF('Weighted calculations'!$B$34:$B$37,$E$89,'Weighted calculations'!R$34:R$37)</f>
        <v>188425.1372694429</v>
      </c>
      <c r="R91" s="203">
        <f>SUMIF('Weighted calculations'!$B$34:$B$37,$E$89,'Weighted calculations'!S$34:S$37)</f>
        <v>-3148544.9642912</v>
      </c>
      <c r="S91" s="203">
        <f>SUMIF('Weighted calculations'!$B$34:$B$37,$E$89,'Weighted calculations'!T$34:T$37)</f>
        <v>1033433.4675950804</v>
      </c>
      <c r="T91" s="203">
        <f>SUMIF('Weighted calculations'!$B$34:$B$37,$E$89,'Weighted calculations'!U$34:U$37)</f>
        <v>2241409.6736448407</v>
      </c>
      <c r="U91" s="203">
        <f>SUMIF('Weighted calculations'!$B$34:$B$37,$E$89,'Weighted calculations'!V$34:V$37)</f>
        <v>1.9788994520551773</v>
      </c>
      <c r="V91" s="203">
        <f>SUMIF('Weighted calculations'!$B$34:$B$37,$E$89,'Weighted calculations'!W$34:W$37)</f>
        <v>2.0930414905801471</v>
      </c>
      <c r="W91" s="203">
        <f>SUMIF('Weighted calculations'!$B$34:$B$37,$E$89,'Weighted calculations'!X$34:X$37)</f>
        <v>-41.75545007456094</v>
      </c>
      <c r="X91" s="203">
        <f>SUMIF('Weighted calculations'!$B$34:$B$37,$E$89,'Weighted calculations'!Y$34:Y$37)</f>
        <v>8030420.2850036174</v>
      </c>
      <c r="Y91" s="203">
        <f>SUMIF('Weighted calculations'!$B$34:$B$37,$E$89,'Weighted calculations'!Z$34:Z$37)</f>
        <v>-11376845.103311829</v>
      </c>
      <c r="Z91" s="203">
        <f>SUMIF('Weighted calculations'!$B$34:$B$37,$E$89,'Weighted calculations'!AA$34:AA$37)</f>
        <v>-2699455.8349100351</v>
      </c>
      <c r="AA91" s="203">
        <f>SUMIF('Weighted calculations'!$B$34:$B$37,$E$89,'Weighted calculations'!AB$34:AB$37)</f>
        <v>-918415.06049765646</v>
      </c>
      <c r="AB91" s="203">
        <f>SUMIF('Weighted calculations'!$B$34:$B$37,$E$89,'Weighted calculations'!AC$34:AC$37)</f>
        <v>-3137189.9702465534</v>
      </c>
      <c r="AC91" s="203">
        <f>SUMIF('Weighted calculations'!$B$34:$B$37,$E$89,'Weighted calculations'!AD$34:AD$37)</f>
        <v>3.1139610222469023</v>
      </c>
      <c r="BD91" s="142"/>
      <c r="BF91" s="101"/>
    </row>
    <row r="92" spans="2:61" x14ac:dyDescent="0.25">
      <c r="B92" s="105" t="str">
        <f>$B$36</f>
        <v>Avoided REZ transmission capex</v>
      </c>
      <c r="C92" s="105"/>
      <c r="D92" s="203">
        <f>SUMIF('Weighted calculations'!$B$40:$B$43,$E$89,'Weighted calculations'!E$40:E$43)</f>
        <v>0</v>
      </c>
      <c r="E92" s="203">
        <f>SUMIF('Weighted calculations'!$B$40:$B$43,$E$89,'Weighted calculations'!F$40:F$43)</f>
        <v>9.4592198379995072</v>
      </c>
      <c r="F92" s="203">
        <f>SUMIF('Weighted calculations'!$B$40:$B$43,$E$89,'Weighted calculations'!G$40:G$43)</f>
        <v>0.78795951372646933</v>
      </c>
      <c r="G92" s="203">
        <f>SUMIF('Weighted calculations'!$B$40:$B$43,$E$89,'Weighted calculations'!H$40:H$43)</f>
        <v>0.83298097855112463</v>
      </c>
      <c r="H92" s="203">
        <f>SUMIF('Weighted calculations'!$B$40:$B$43,$E$89,'Weighted calculations'!I$40:I$43)</f>
        <v>1.7117236926688888</v>
      </c>
      <c r="I92" s="203">
        <f>SUMIF('Weighted calculations'!$B$40:$B$43,$E$89,'Weighted calculations'!J$40:J$43)</f>
        <v>1.1954557766422484</v>
      </c>
      <c r="J92" s="203">
        <f>SUMIF('Weighted calculations'!$B$40:$B$43,$E$89,'Weighted calculations'!K$40:K$43)</f>
        <v>1.2264790417364579</v>
      </c>
      <c r="K92" s="203">
        <f>SUMIF('Weighted calculations'!$B$40:$B$43,$E$89,'Weighted calculations'!L$40:L$43)</f>
        <v>1.4020568116586447</v>
      </c>
      <c r="L92" s="203">
        <f>SUMIF('Weighted calculations'!$B$40:$B$43,$E$89,'Weighted calculations'!M$40:M$43)</f>
        <v>2.1719305954212755</v>
      </c>
      <c r="M92" s="203">
        <f>SUMIF('Weighted calculations'!$B$40:$B$43,$E$89,'Weighted calculations'!N$40:N$43)</f>
        <v>35567700.858894184</v>
      </c>
      <c r="N92" s="203">
        <f>SUMIF('Weighted calculations'!$B$40:$B$43,$E$89,'Weighted calculations'!O$40:O$43)</f>
        <v>4.195667706212955</v>
      </c>
      <c r="O92" s="203">
        <f>SUMIF('Weighted calculations'!$B$40:$B$43,$E$89,'Weighted calculations'!P$40:P$43)</f>
        <v>0.37560016891832404</v>
      </c>
      <c r="P92" s="203">
        <f>SUMIF('Weighted calculations'!$B$40:$B$43,$E$89,'Weighted calculations'!Q$40:Q$43)</f>
        <v>3995069.2457342148</v>
      </c>
      <c r="Q92" s="203">
        <f>SUMIF('Weighted calculations'!$B$40:$B$43,$E$89,'Weighted calculations'!R$40:R$43)</f>
        <v>-9797813.0754730105</v>
      </c>
      <c r="R92" s="203">
        <f>SUMIF('Weighted calculations'!$B$40:$B$43,$E$89,'Weighted calculations'!S$40:S$43)</f>
        <v>8865811.6128076613</v>
      </c>
      <c r="S92" s="203">
        <f>SUMIF('Weighted calculations'!$B$40:$B$43,$E$89,'Weighted calculations'!T$40:T$43)</f>
        <v>0</v>
      </c>
      <c r="T92" s="203">
        <f>SUMIF('Weighted calculations'!$B$40:$B$43,$E$89,'Weighted calculations'!U$40:U$43)</f>
        <v>35919721.164315224</v>
      </c>
      <c r="U92" s="203">
        <f>SUMIF('Weighted calculations'!$B$40:$B$43,$E$89,'Weighted calculations'!V$40:V$43)</f>
        <v>-2785265.2638478056</v>
      </c>
      <c r="V92" s="203">
        <f>SUMIF('Weighted calculations'!$B$40:$B$43,$E$89,'Weighted calculations'!W$40:W$43)</f>
        <v>0.3707726753815499</v>
      </c>
      <c r="W92" s="203">
        <f>SUMIF('Weighted calculations'!$B$40:$B$43,$E$89,'Weighted calculations'!X$40:X$43)</f>
        <v>1.6110551780573383</v>
      </c>
      <c r="X92" s="203">
        <f>SUMIF('Weighted calculations'!$B$40:$B$43,$E$89,'Weighted calculations'!Y$40:Y$43)</f>
        <v>-13321034.422757596</v>
      </c>
      <c r="Y92" s="203">
        <f>SUMIF('Weighted calculations'!$B$40:$B$43,$E$89,'Weighted calculations'!Z$40:Z$43)</f>
        <v>-4654427.2227072744</v>
      </c>
      <c r="Z92" s="203">
        <f>SUMIF('Weighted calculations'!$B$40:$B$43,$E$89,'Weighted calculations'!AA$40:AA$43)</f>
        <v>3.3423396932475864</v>
      </c>
      <c r="AA92" s="203">
        <f>SUMIF('Weighted calculations'!$B$40:$B$43,$E$89,'Weighted calculations'!AB$40:AB$43)</f>
        <v>13275243.251173876</v>
      </c>
      <c r="AB92" s="203">
        <f>SUMIF('Weighted calculations'!$B$40:$B$43,$E$89,'Weighted calculations'!AC$40:AC$43)</f>
        <v>-37155978.588137209</v>
      </c>
      <c r="AC92" s="203">
        <f>SUMIF('Weighted calculations'!$B$40:$B$43,$E$89,'Weighted calculations'!AD$40:AD$43)</f>
        <v>1005314.900319675</v>
      </c>
      <c r="BD92" s="142"/>
      <c r="BF92" s="101"/>
    </row>
    <row r="93" spans="2:61" x14ac:dyDescent="0.25">
      <c r="B93" s="105" t="str">
        <f>$B$37</f>
        <v>Avoided fuel costs</v>
      </c>
      <c r="C93" s="105"/>
      <c r="D93" s="203">
        <f>SUMIF('Weighted calculations'!$B$46:$B$49,$E$89,'Weighted calculations'!E$46:E$49)</f>
        <v>0</v>
      </c>
      <c r="E93" s="203">
        <f>SUMIF('Weighted calculations'!$B$46:$B$49,$E$89,'Weighted calculations'!F$46:F$49)</f>
        <v>-20.771078109741211</v>
      </c>
      <c r="F93" s="203">
        <f>SUMIF('Weighted calculations'!$B$46:$B$49,$E$89,'Weighted calculations'!G$46:G$49)</f>
        <v>38950.090555667877</v>
      </c>
      <c r="G93" s="203">
        <f>SUMIF('Weighted calculations'!$B$46:$B$49,$E$89,'Weighted calculations'!H$46:H$49)</f>
        <v>5751396.4558663368</v>
      </c>
      <c r="H93" s="203">
        <f>SUMIF('Weighted calculations'!$B$46:$B$49,$E$89,'Weighted calculations'!I$46:I$49)</f>
        <v>6421066.7215399742</v>
      </c>
      <c r="I93" s="203">
        <f>SUMIF('Weighted calculations'!$B$46:$B$49,$E$89,'Weighted calculations'!J$46:J$49)</f>
        <v>6931777.0918259621</v>
      </c>
      <c r="J93" s="203">
        <f>SUMIF('Weighted calculations'!$B$46:$B$49,$E$89,'Weighted calculations'!K$46:K$49)</f>
        <v>10407066.2038517</v>
      </c>
      <c r="K93" s="203">
        <f>SUMIF('Weighted calculations'!$B$46:$B$49,$E$89,'Weighted calculations'!L$46:L$49)</f>
        <v>7623705.4406652451</v>
      </c>
      <c r="L93" s="203">
        <f>SUMIF('Weighted calculations'!$B$46:$B$49,$E$89,'Weighted calculations'!M$46:M$49)</f>
        <v>9083578.5407090187</v>
      </c>
      <c r="M93" s="203">
        <f>SUMIF('Weighted calculations'!$B$46:$B$49,$E$89,'Weighted calculations'!N$46:N$49)</f>
        <v>-4267537.4385471344</v>
      </c>
      <c r="N93" s="203">
        <f>SUMIF('Weighted calculations'!$B$46:$B$49,$E$89,'Weighted calculations'!O$46:O$49)</f>
        <v>-11207626.622312069</v>
      </c>
      <c r="O93" s="203">
        <f>SUMIF('Weighted calculations'!$B$46:$B$49,$E$89,'Weighted calculations'!P$46:P$49)</f>
        <v>-13555355.963457108</v>
      </c>
      <c r="P93" s="203">
        <f>SUMIF('Weighted calculations'!$B$46:$B$49,$E$89,'Weighted calculations'!Q$46:Q$49)</f>
        <v>-9180094.6487760544</v>
      </c>
      <c r="Q93" s="203">
        <f>SUMIF('Weighted calculations'!$B$46:$B$49,$E$89,'Weighted calculations'!R$46:R$49)</f>
        <v>12376624.577317715</v>
      </c>
      <c r="R93" s="203">
        <f>SUMIF('Weighted calculations'!$B$46:$B$49,$E$89,'Weighted calculations'!S$46:S$49)</f>
        <v>2130184.1417150497</v>
      </c>
      <c r="S93" s="203">
        <f>SUMIF('Weighted calculations'!$B$46:$B$49,$E$89,'Weighted calculations'!T$46:T$49)</f>
        <v>-19393009.69004631</v>
      </c>
      <c r="T93" s="203">
        <f>SUMIF('Weighted calculations'!$B$46:$B$49,$E$89,'Weighted calculations'!U$46:U$49)</f>
        <v>-12062123.707467556</v>
      </c>
      <c r="U93" s="203">
        <f>SUMIF('Weighted calculations'!$B$46:$B$49,$E$89,'Weighted calculations'!V$46:V$49)</f>
        <v>19080104.688132763</v>
      </c>
      <c r="V93" s="203">
        <f>SUMIF('Weighted calculations'!$B$46:$B$49,$E$89,'Weighted calculations'!W$46:W$49)</f>
        <v>14138010.729484081</v>
      </c>
      <c r="W93" s="203">
        <f>SUMIF('Weighted calculations'!$B$46:$B$49,$E$89,'Weighted calculations'!X$46:X$49)</f>
        <v>7591431.3912129402</v>
      </c>
      <c r="X93" s="203">
        <f>SUMIF('Weighted calculations'!$B$46:$B$49,$E$89,'Weighted calculations'!Y$46:Y$49)</f>
        <v>12390147.965401649</v>
      </c>
      <c r="Y93" s="203">
        <f>SUMIF('Weighted calculations'!$B$46:$B$49,$E$89,'Weighted calculations'!Z$46:Z$49)</f>
        <v>27631003.240487099</v>
      </c>
      <c r="Z93" s="203">
        <f>SUMIF('Weighted calculations'!$B$46:$B$49,$E$89,'Weighted calculations'!AA$46:AA$49)</f>
        <v>12276003.152264595</v>
      </c>
      <c r="AA93" s="203">
        <f>SUMIF('Weighted calculations'!$B$46:$B$49,$E$89,'Weighted calculations'!AB$46:AB$49)</f>
        <v>-6385772.4601264</v>
      </c>
      <c r="AB93" s="203">
        <f>SUMIF('Weighted calculations'!$B$46:$B$49,$E$89,'Weighted calculations'!AC$46:AC$49)</f>
        <v>54367392.467200756</v>
      </c>
      <c r="AC93" s="203">
        <f>SUMIF('Weighted calculations'!$B$46:$B$49,$E$89,'Weighted calculations'!AD$46:AD$49)</f>
        <v>45603138.345723152</v>
      </c>
      <c r="BD93" s="145"/>
      <c r="BF93" s="101"/>
    </row>
    <row r="94" spans="2:61" ht="13" x14ac:dyDescent="0.3">
      <c r="B94" s="105" t="str">
        <f>$B$38</f>
        <v>Avoided voluntary load curtailment</v>
      </c>
      <c r="C94" s="105"/>
      <c r="D94" s="203">
        <f>SUMIF('Weighted calculations'!$B$52:$B$55,$E$89,'Weighted calculations'!E$52:E$55)</f>
        <v>0</v>
      </c>
      <c r="E94" s="203">
        <f>SUMIF('Weighted calculations'!$B$52:$B$55,$E$89,'Weighted calculations'!F$52:F$55)</f>
        <v>2.5180001663975418</v>
      </c>
      <c r="F94" s="203">
        <f>SUMIF('Weighted calculations'!$B$52:$B$55,$E$89,'Weighted calculations'!G$52:G$55)</f>
        <v>2.6896416268427856</v>
      </c>
      <c r="G94" s="203">
        <f>SUMIF('Weighted calculations'!$B$52:$B$55,$E$89,'Weighted calculations'!H$52:H$55)</f>
        <v>157132.49162080698</v>
      </c>
      <c r="H94" s="203">
        <f>SUMIF('Weighted calculations'!$B$52:$B$55,$E$89,'Weighted calculations'!I$52:I$55)</f>
        <v>174916.44679038227</v>
      </c>
      <c r="I94" s="203">
        <f>SUMIF('Weighted calculations'!$B$52:$B$55,$E$89,'Weighted calculations'!J$52:J$55)</f>
        <v>32714.038506436162</v>
      </c>
      <c r="J94" s="203">
        <f>SUMIF('Weighted calculations'!$B$52:$B$55,$E$89,'Weighted calculations'!K$52:K$55)</f>
        <v>3.4424297206480134</v>
      </c>
      <c r="K94" s="203">
        <f>SUMIF('Weighted calculations'!$B$52:$B$55,$E$89,'Weighted calculations'!L$52:L$55)</f>
        <v>2933.4182673134274</v>
      </c>
      <c r="L94" s="203">
        <f>SUMIF('Weighted calculations'!$B$52:$B$55,$E$89,'Weighted calculations'!M$52:M$55)</f>
        <v>1575.2479798389177</v>
      </c>
      <c r="M94" s="203">
        <f>SUMIF('Weighted calculations'!$B$52:$B$55,$E$89,'Weighted calculations'!N$52:N$55)</f>
        <v>46169.064047214342</v>
      </c>
      <c r="N94" s="203">
        <f>SUMIF('Weighted calculations'!$B$52:$B$55,$E$89,'Weighted calculations'!O$52:O$55)</f>
        <v>7016.3840722828172</v>
      </c>
      <c r="O94" s="203">
        <f>SUMIF('Weighted calculations'!$B$52:$B$55,$E$89,'Weighted calculations'!P$52:P$55)</f>
        <v>-14314.732554638991</v>
      </c>
      <c r="P94" s="203">
        <f>SUMIF('Weighted calculations'!$B$52:$B$55,$E$89,'Weighted calculations'!Q$52:Q$55)</f>
        <v>16026.227727186168</v>
      </c>
      <c r="Q94" s="203">
        <f>SUMIF('Weighted calculations'!$B$52:$B$55,$E$89,'Weighted calculations'!R$52:R$55)</f>
        <v>786183.14799528662</v>
      </c>
      <c r="R94" s="203">
        <f>SUMIF('Weighted calculations'!$B$52:$B$55,$E$89,'Weighted calculations'!S$52:S$55)</f>
        <v>420564.59430221003</v>
      </c>
      <c r="S94" s="203">
        <f>SUMIF('Weighted calculations'!$B$52:$B$55,$E$89,'Weighted calculations'!T$52:T$55)</f>
        <v>1068156.9628534652</v>
      </c>
      <c r="T94" s="203">
        <f>SUMIF('Weighted calculations'!$B$52:$B$55,$E$89,'Weighted calculations'!U$52:U$55)</f>
        <v>2083160.1754248198</v>
      </c>
      <c r="U94" s="203">
        <f>SUMIF('Weighted calculations'!$B$52:$B$55,$E$89,'Weighted calculations'!V$52:V$55)</f>
        <v>3.452176516293548E-2</v>
      </c>
      <c r="V94" s="203">
        <f>SUMIF('Weighted calculations'!$B$52:$B$55,$E$89,'Weighted calculations'!W$52:W$55)</f>
        <v>-51427.850263232613</v>
      </c>
      <c r="W94" s="203">
        <f>SUMIF('Weighted calculations'!$B$52:$B$55,$E$89,'Weighted calculations'!X$52:X$55)</f>
        <v>-359848.58937809616</v>
      </c>
      <c r="X94" s="203">
        <f>SUMIF('Weighted calculations'!$B$52:$B$55,$E$89,'Weighted calculations'!Y$52:Y$55)</f>
        <v>5681599.6312696114</v>
      </c>
      <c r="Y94" s="203">
        <f>SUMIF('Weighted calculations'!$B$52:$B$55,$E$89,'Weighted calculations'!Z$52:Z$55)</f>
        <v>-3245552.8188264277</v>
      </c>
      <c r="Z94" s="203">
        <f>SUMIF('Weighted calculations'!$B$52:$B$55,$E$89,'Weighted calculations'!AA$52:AA$55)</f>
        <v>3318908.8114264701</v>
      </c>
      <c r="AA94" s="203">
        <f>SUMIF('Weighted calculations'!$B$52:$B$55,$E$89,'Weighted calculations'!AB$52:AB$55)</f>
        <v>360492.8318506442</v>
      </c>
      <c r="AB94" s="203">
        <f>SUMIF('Weighted calculations'!$B$52:$B$55,$E$89,'Weighted calculations'!AC$52:AC$55)</f>
        <v>-90588.951480124146</v>
      </c>
      <c r="AC94" s="203">
        <f>SUMIF('Weighted calculations'!$B$52:$B$55,$E$89,'Weighted calculations'!AD$52:AD$55)</f>
        <v>11.218786810025334</v>
      </c>
      <c r="BD94" s="115"/>
      <c r="BF94" s="101"/>
    </row>
    <row r="95" spans="2:61" x14ac:dyDescent="0.25">
      <c r="B95" s="105" t="str">
        <f>$B$39</f>
        <v>Avoided generation/storage costs (excl. fuel costs)</v>
      </c>
      <c r="C95" s="105"/>
      <c r="D95" s="203">
        <f>SUMIF('Weighted calculations'!$B$58:$B$61,$E$89,'Weighted calculations'!E$58:E$61)</f>
        <v>0</v>
      </c>
      <c r="E95" s="203">
        <f>SUMIF('Weighted calculations'!$B$58:$B$61,$E$89,'Weighted calculations'!F$58:F$61)</f>
        <v>299.60872721672058</v>
      </c>
      <c r="F95" s="203">
        <f>SUMIF('Weighted calculations'!$B$58:$B$61,$E$89,'Weighted calculations'!G$58:G$61)</f>
        <v>9254.5528930425644</v>
      </c>
      <c r="G95" s="203">
        <f>SUMIF('Weighted calculations'!$B$58:$B$61,$E$89,'Weighted calculations'!H$58:H$61)</f>
        <v>173618383.75794744</v>
      </c>
      <c r="H95" s="203">
        <f>SUMIF('Weighted calculations'!$B$58:$B$61,$E$89,'Weighted calculations'!I$58:I$61)</f>
        <v>-18551211.986917496</v>
      </c>
      <c r="I95" s="203">
        <f>SUMIF('Weighted calculations'!$B$58:$B$61,$E$89,'Weighted calculations'!J$58:J$61)</f>
        <v>-395053.17867469788</v>
      </c>
      <c r="J95" s="203">
        <f>SUMIF('Weighted calculations'!$B$58:$B$61,$E$89,'Weighted calculations'!K$58:K$61)</f>
        <v>1814607.9693551064</v>
      </c>
      <c r="K95" s="203">
        <f>SUMIF('Weighted calculations'!$B$58:$B$61,$E$89,'Weighted calculations'!L$58:L$61)</f>
        <v>4734427.5503022671</v>
      </c>
      <c r="L95" s="203">
        <f>SUMIF('Weighted calculations'!$B$58:$B$61,$E$89,'Weighted calculations'!M$58:M$61)</f>
        <v>5134615.7005624771</v>
      </c>
      <c r="M95" s="203">
        <f>SUMIF('Weighted calculations'!$B$58:$B$61,$E$89,'Weighted calculations'!N$58:N$61)</f>
        <v>225738743.72565079</v>
      </c>
      <c r="N95" s="203">
        <f>SUMIF('Weighted calculations'!$B$58:$B$61,$E$89,'Weighted calculations'!O$58:O$61)</f>
        <v>69063863.543722153</v>
      </c>
      <c r="O95" s="203">
        <f>SUMIF('Weighted calculations'!$B$58:$B$61,$E$89,'Weighted calculations'!P$58:P$61)</f>
        <v>-787363.32006108761</v>
      </c>
      <c r="P95" s="203">
        <f>SUMIF('Weighted calculations'!$B$58:$B$61,$E$89,'Weighted calculations'!Q$58:Q$61)</f>
        <v>57118882.282352448</v>
      </c>
      <c r="Q95" s="203">
        <f>SUMIF('Weighted calculations'!$B$58:$B$61,$E$89,'Weighted calculations'!R$58:R$61)</f>
        <v>-253365987.0421381</v>
      </c>
      <c r="R95" s="203">
        <f>SUMIF('Weighted calculations'!$B$58:$B$61,$E$89,'Weighted calculations'!S$58:S$61)</f>
        <v>129032633.27796221</v>
      </c>
      <c r="S95" s="203">
        <f>SUMIF('Weighted calculations'!$B$58:$B$61,$E$89,'Weighted calculations'!T$58:T$61)</f>
        <v>206861186.25061035</v>
      </c>
      <c r="T95" s="203">
        <f>SUMIF('Weighted calculations'!$B$58:$B$61,$E$89,'Weighted calculations'!U$58:U$61)</f>
        <v>61728171.620040894</v>
      </c>
      <c r="U95" s="203">
        <f>SUMIF('Weighted calculations'!$B$58:$B$61,$E$89,'Weighted calculations'!V$58:V$61)</f>
        <v>-311582490.58197355</v>
      </c>
      <c r="V95" s="203">
        <f>SUMIF('Weighted calculations'!$B$58:$B$61,$E$89,'Weighted calculations'!W$58:W$61)</f>
        <v>-10207786.006738901</v>
      </c>
      <c r="W95" s="203">
        <f>SUMIF('Weighted calculations'!$B$58:$B$61,$E$89,'Weighted calculations'!X$58:X$61)</f>
        <v>-4112290.5466761589</v>
      </c>
      <c r="X95" s="203">
        <f>SUMIF('Weighted calculations'!$B$58:$B$61,$E$89,'Weighted calculations'!Y$58:Y$61)</f>
        <v>105453566.09807873</v>
      </c>
      <c r="Y95" s="203">
        <f>SUMIF('Weighted calculations'!$B$58:$B$61,$E$89,'Weighted calculations'!Z$58:Z$61)</f>
        <v>-83689454.097207546</v>
      </c>
      <c r="Z95" s="203">
        <f>SUMIF('Weighted calculations'!$B$58:$B$61,$E$89,'Weighted calculations'!AA$58:AA$61)</f>
        <v>71651019.55900538</v>
      </c>
      <c r="AA95" s="203">
        <f>SUMIF('Weighted calculations'!$B$58:$B$61,$E$89,'Weighted calculations'!AB$58:AB$61)</f>
        <v>24890378.535867333</v>
      </c>
      <c r="AB95" s="203">
        <f>SUMIF('Weighted calculations'!$B$58:$B$61,$E$89,'Weighted calculations'!AC$58:AC$61)</f>
        <v>-45666477.636971951</v>
      </c>
      <c r="AC95" s="203">
        <f>SUMIF('Weighted calculations'!$B$58:$B$61,$E$89,'Weighted calculations'!AD$58:AD$61)</f>
        <v>4625286.4278271198</v>
      </c>
      <c r="BD95" s="142"/>
      <c r="BE95" s="102"/>
      <c r="BF95" s="101"/>
    </row>
    <row r="96" spans="2:61" x14ac:dyDescent="0.25">
      <c r="U96" s="101"/>
      <c r="X96" s="101"/>
      <c r="Y96" s="101"/>
      <c r="Z96" s="101"/>
      <c r="AA96" s="101"/>
      <c r="AB96" s="101"/>
      <c r="AC96" s="101"/>
      <c r="BD96" s="142"/>
      <c r="BE96" s="102"/>
      <c r="BF96" s="101"/>
    </row>
    <row r="97" spans="2:58" ht="13" x14ac:dyDescent="0.3">
      <c r="B97" s="104" t="str">
        <f>B15</f>
        <v>Scenario 2</v>
      </c>
      <c r="C97" s="104"/>
      <c r="D97" s="107" t="str">
        <f>Calculation!G$33</f>
        <v>2019-20</v>
      </c>
      <c r="E97" s="107" t="str">
        <f>Calculation!H$33</f>
        <v>2020-21</v>
      </c>
      <c r="F97" s="107" t="str">
        <f>Calculation!I$33</f>
        <v>2021-22</v>
      </c>
      <c r="G97" s="107" t="str">
        <f>Calculation!J$33</f>
        <v>2022-23</v>
      </c>
      <c r="H97" s="107" t="str">
        <f>Calculation!K$33</f>
        <v>2023-24</v>
      </c>
      <c r="I97" s="107" t="str">
        <f>Calculation!L$33</f>
        <v>2024-25</v>
      </c>
      <c r="J97" s="107" t="str">
        <f>Calculation!M$33</f>
        <v>2025-26</v>
      </c>
      <c r="K97" s="107" t="str">
        <f>Calculation!N$33</f>
        <v>2026-27</v>
      </c>
      <c r="L97" s="107" t="str">
        <f>Calculation!O$33</f>
        <v>2027-28</v>
      </c>
      <c r="M97" s="107" t="str">
        <f>Calculation!P$33</f>
        <v>2028-29</v>
      </c>
      <c r="N97" s="107" t="str">
        <f>Calculation!Q$33</f>
        <v>2029-30</v>
      </c>
      <c r="O97" s="107" t="str">
        <f>Calculation!R$33</f>
        <v>2030-31</v>
      </c>
      <c r="P97" s="107" t="str">
        <f>Calculation!S$33</f>
        <v>2031-32</v>
      </c>
      <c r="Q97" s="107" t="str">
        <f>Calculation!T$33</f>
        <v>2032-33</v>
      </c>
      <c r="R97" s="107" t="str">
        <f>Calculation!U$33</f>
        <v>2033-34</v>
      </c>
      <c r="S97" s="107" t="str">
        <f>Calculation!V$33</f>
        <v>2034-35</v>
      </c>
      <c r="T97" s="107" t="str">
        <f>Calculation!W$33</f>
        <v>2035-36</v>
      </c>
      <c r="U97" s="107" t="str">
        <f>Calculation!X$33</f>
        <v>2036-37</v>
      </c>
      <c r="V97" s="107" t="str">
        <f>Calculation!Y$33</f>
        <v>2037-38</v>
      </c>
      <c r="W97" s="107" t="str">
        <f>Calculation!Z$33</f>
        <v>2038-39</v>
      </c>
      <c r="X97" s="107" t="str">
        <f>Calculation!AA$33</f>
        <v>2039-40</v>
      </c>
      <c r="Y97" s="107" t="str">
        <f>Calculation!AB$33</f>
        <v>2040-41</v>
      </c>
      <c r="Z97" s="107" t="str">
        <f>Calculation!AC$33</f>
        <v>2041-42</v>
      </c>
      <c r="AA97" s="107" t="str">
        <f>Calculation!AD$33</f>
        <v>2042-43</v>
      </c>
      <c r="AB97" s="107" t="str">
        <f>Calculation!AE$33</f>
        <v>2043-44</v>
      </c>
      <c r="AC97" s="107" t="str">
        <f>Calculation!AF$33</f>
        <v>2044-45</v>
      </c>
      <c r="BD97" s="142"/>
      <c r="BE97" s="102"/>
      <c r="BF97" s="101"/>
    </row>
    <row r="98" spans="2:58" x14ac:dyDescent="0.25">
      <c r="B98" s="105" t="str">
        <f>$B$35</f>
        <v>Avoided unserved energy</v>
      </c>
      <c r="C98" s="105"/>
      <c r="D98" s="203">
        <f>SUMIF('Weighted calculations'!$B$65:$B$68,$E$89,'Weighted calculations'!E$65:E$68)</f>
        <v>0</v>
      </c>
      <c r="E98" s="203">
        <f>SUMIF('Weighted calculations'!$B$65:$B$68,$E$89,'Weighted calculations'!F$65:F$68)</f>
        <v>3.8301329775000115E-2</v>
      </c>
      <c r="F98" s="203">
        <f>SUMIF('Weighted calculations'!$B$65:$B$68,$E$89,'Weighted calculations'!G$65:G$68)</f>
        <v>3.6042923107743263E-2</v>
      </c>
      <c r="G98" s="203">
        <f>SUMIF('Weighted calculations'!$B$65:$B$68,$E$89,'Weighted calculations'!H$65:H$68)</f>
        <v>-3409504.9141589068</v>
      </c>
      <c r="H98" s="203">
        <f>SUMIF('Weighted calculations'!$B$65:$B$68,$E$89,'Weighted calculations'!I$65:I$68)</f>
        <v>712031.69955579937</v>
      </c>
      <c r="I98" s="203">
        <f>SUMIF('Weighted calculations'!$B$65:$B$68,$E$89,'Weighted calculations'!J$65:J$68)</f>
        <v>6754387.1241225451</v>
      </c>
      <c r="J98" s="203">
        <f>SUMIF('Weighted calculations'!$B$65:$B$68,$E$89,'Weighted calculations'!K$65:K$68)</f>
        <v>5.103613277060326E-2</v>
      </c>
      <c r="K98" s="203">
        <f>SUMIF('Weighted calculations'!$B$65:$B$68,$E$89,'Weighted calculations'!L$65:L$68)</f>
        <v>5.4041646336452587E-2</v>
      </c>
      <c r="L98" s="203">
        <f>SUMIF('Weighted calculations'!$B$65:$B$68,$E$89,'Weighted calculations'!M$65:M$68)</f>
        <v>5.7413666742643699E-2</v>
      </c>
      <c r="M98" s="203">
        <f>SUMIF('Weighted calculations'!$B$65:$B$68,$E$89,'Weighted calculations'!N$65:N$68)</f>
        <v>526810.13427426829</v>
      </c>
      <c r="N98" s="203">
        <f>SUMIF('Weighted calculations'!$B$65:$B$68,$E$89,'Weighted calculations'!O$65:O$68)</f>
        <v>-2333728.939420484</v>
      </c>
      <c r="O98" s="203">
        <f>SUMIF('Weighted calculations'!$B$65:$B$68,$E$89,'Weighted calculations'!P$65:P$68)</f>
        <v>-57991.557100884616</v>
      </c>
      <c r="P98" s="203">
        <f>SUMIF('Weighted calculations'!$B$65:$B$68,$E$89,'Weighted calculations'!Q$65:Q$68)</f>
        <v>7.21331270190948E-2</v>
      </c>
      <c r="Q98" s="203">
        <f>SUMIF('Weighted calculations'!$B$65:$B$68,$E$89,'Weighted calculations'!R$65:R$68)</f>
        <v>-2154434.8439322114</v>
      </c>
      <c r="R98" s="203">
        <f>SUMIF('Weighted calculations'!$B$65:$B$68,$E$89,'Weighted calculations'!S$65:S$68)</f>
        <v>-2226317.1399634443</v>
      </c>
      <c r="S98" s="203">
        <f>SUMIF('Weighted calculations'!$B$65:$B$68,$E$89,'Weighted calculations'!T$65:T$68)</f>
        <v>-422119.39418159542</v>
      </c>
      <c r="T98" s="203">
        <f>SUMIF('Weighted calculations'!$B$65:$B$68,$E$89,'Weighted calculations'!U$65:U$68)</f>
        <v>-642598.5610473156</v>
      </c>
      <c r="U98" s="203">
        <f>SUMIF('Weighted calculations'!$B$65:$B$68,$E$89,'Weighted calculations'!V$65:V$68)</f>
        <v>9.538927221304716E-2</v>
      </c>
      <c r="V98" s="203">
        <f>SUMIF('Weighted calculations'!$B$65:$B$68,$E$89,'Weighted calculations'!W$65:W$68)</f>
        <v>0.1009214810885446</v>
      </c>
      <c r="W98" s="203">
        <f>SUMIF('Weighted calculations'!$B$65:$B$68,$E$89,'Weighted calculations'!X$65:X$68)</f>
        <v>-44022.641653296138</v>
      </c>
      <c r="X98" s="203">
        <f>SUMIF('Weighted calculations'!$B$65:$B$68,$E$89,'Weighted calculations'!Y$65:Y$68)</f>
        <v>23549071.283377081</v>
      </c>
      <c r="Y98" s="203">
        <f>SUMIF('Weighted calculations'!$B$65:$B$68,$E$89,'Weighted calculations'!Z$65:Z$68)</f>
        <v>0.11970326396919218</v>
      </c>
      <c r="Z98" s="203">
        <f>SUMIF('Weighted calculations'!$B$65:$B$68,$E$89,'Weighted calculations'!AA$65:AA$68)</f>
        <v>1576431.1315540299</v>
      </c>
      <c r="AA98" s="203">
        <f>SUMIF('Weighted calculations'!$B$65:$B$68,$E$89,'Weighted calculations'!AB$65:AB$68)</f>
        <v>-56093.357751833275</v>
      </c>
      <c r="AB98" s="203">
        <f>SUMIF('Weighted calculations'!$B$65:$B$68,$E$89,'Weighted calculations'!AC$65:AC$68)</f>
        <v>1202409.9822131963</v>
      </c>
      <c r="AC98" s="203">
        <f>SUMIF('Weighted calculations'!$B$65:$B$68,$E$89,'Weighted calculations'!AD$65:AD$68)</f>
        <v>0.15036493966499132</v>
      </c>
      <c r="BD98" s="142"/>
      <c r="BE98" s="102"/>
      <c r="BF98" s="101"/>
    </row>
    <row r="99" spans="2:58" x14ac:dyDescent="0.25">
      <c r="B99" s="105" t="str">
        <f>$B$36</f>
        <v>Avoided REZ transmission capex</v>
      </c>
      <c r="C99" s="105"/>
      <c r="D99" s="203">
        <f>SUMIF('Weighted calculations'!$B$71:$B$74,$E$89,'Weighted calculations'!E$71:E$74)</f>
        <v>0</v>
      </c>
      <c r="E99" s="203">
        <f>SUMIF('Weighted calculations'!$B$71:$B$74,$E$89,'Weighted calculations'!F$71:F$74)</f>
        <v>0.4654370144231148</v>
      </c>
      <c r="F99" s="203">
        <f>SUMIF('Weighted calculations'!$B$71:$B$74,$E$89,'Weighted calculations'!G$71:G$74)</f>
        <v>3.0395345841962351E-2</v>
      </c>
      <c r="G99" s="203">
        <f>SUMIF('Weighted calculations'!$B$71:$B$74,$E$89,'Weighted calculations'!H$71:H$74)</f>
        <v>14286756.865490526</v>
      </c>
      <c r="H99" s="203">
        <f>SUMIF('Weighted calculations'!$B$71:$B$74,$E$89,'Weighted calculations'!I$71:I$74)</f>
        <v>-2.3198176116815961E-2</v>
      </c>
      <c r="I99" s="203">
        <f>SUMIF('Weighted calculations'!$B$71:$B$74,$E$89,'Weighted calculations'!J$71:J$74)</f>
        <v>-12259995.760250479</v>
      </c>
      <c r="J99" s="203">
        <f>SUMIF('Weighted calculations'!$B$71:$B$74,$E$89,'Weighted calculations'!K$71:K$74)</f>
        <v>18675692.30935286</v>
      </c>
      <c r="K99" s="203">
        <f>SUMIF('Weighted calculations'!$B$71:$B$74,$E$89,'Weighted calculations'!L$71:L$74)</f>
        <v>2.4541688414086826E-2</v>
      </c>
      <c r="L99" s="203">
        <f>SUMIF('Weighted calculations'!$B$71:$B$74,$E$89,'Weighted calculations'!M$71:M$74)</f>
        <v>29160234.59627229</v>
      </c>
      <c r="M99" s="203">
        <f>SUMIF('Weighted calculations'!$B$71:$B$74,$E$89,'Weighted calculations'!N$71:N$74)</f>
        <v>-4765507.7500377893</v>
      </c>
      <c r="N99" s="203">
        <f>SUMIF('Weighted calculations'!$B$71:$B$74,$E$89,'Weighted calculations'!O$71:O$74)</f>
        <v>-4600328.3972203434</v>
      </c>
      <c r="O99" s="203">
        <f>SUMIF('Weighted calculations'!$B$71:$B$74,$E$89,'Weighted calculations'!P$71:P$74)</f>
        <v>-4718042.294440642</v>
      </c>
      <c r="P99" s="203">
        <f>SUMIF('Weighted calculations'!$B$71:$B$74,$E$89,'Weighted calculations'!Q$71:Q$74)</f>
        <v>-3242069.8524057269</v>
      </c>
      <c r="Q99" s="203">
        <f>SUMIF('Weighted calculations'!$B$71:$B$74,$E$89,'Weighted calculations'!R$71:R$74)</f>
        <v>19762455.598628879</v>
      </c>
      <c r="R99" s="203">
        <f>SUMIF('Weighted calculations'!$B$71:$B$74,$E$89,'Weighted calculations'!S$71:S$74)</f>
        <v>-3888322.8374245763</v>
      </c>
      <c r="S99" s="203">
        <f>SUMIF('Weighted calculations'!$B$71:$B$74,$E$89,'Weighted calculations'!T$71:T$74)</f>
        <v>-1.3110747021186253E-2</v>
      </c>
      <c r="T99" s="203">
        <f>SUMIF('Weighted calculations'!$B$71:$B$74,$E$89,'Weighted calculations'!U$71:U$74)</f>
        <v>18813689.041842341</v>
      </c>
      <c r="U99" s="203">
        <f>SUMIF('Weighted calculations'!$B$71:$B$74,$E$89,'Weighted calculations'!V$71:V$74)</f>
        <v>-18129956.75607793</v>
      </c>
      <c r="V99" s="203">
        <f>SUMIF('Weighted calculations'!$B$71:$B$74,$E$89,'Weighted calculations'!W$71:W$74)</f>
        <v>-5145571.7113702297</v>
      </c>
      <c r="W99" s="203">
        <f>SUMIF('Weighted calculations'!$B$71:$B$74,$E$89,'Weighted calculations'!X$71:X$74)</f>
        <v>-11636383.707045786</v>
      </c>
      <c r="X99" s="203">
        <f>SUMIF('Weighted calculations'!$B$71:$B$74,$E$89,'Weighted calculations'!Y$71:Y$74)</f>
        <v>23713870.907090545</v>
      </c>
      <c r="Y99" s="203">
        <f>SUMIF('Weighted calculations'!$B$71:$B$74,$E$89,'Weighted calculations'!Z$71:Z$74)</f>
        <v>-3088381.4783471227</v>
      </c>
      <c r="Z99" s="203">
        <f>SUMIF('Weighted calculations'!$B$71:$B$74,$E$89,'Weighted calculations'!AA$71:AA$74)</f>
        <v>6571572.2942089438</v>
      </c>
      <c r="AA99" s="203">
        <f>SUMIF('Weighted calculations'!$B$71:$B$74,$E$89,'Weighted calculations'!AB$71:AB$74)</f>
        <v>-1.9741667415674131E-2</v>
      </c>
      <c r="AB99" s="203">
        <f>SUMIF('Weighted calculations'!$B$71:$B$74,$E$89,'Weighted calculations'!AC$71:AC$74)</f>
        <v>3793635.1968762875</v>
      </c>
      <c r="AC99" s="203">
        <f>SUMIF('Weighted calculations'!$B$71:$B$74,$E$89,'Weighted calculations'!AD$71:AD$74)</f>
        <v>21090.953536137938</v>
      </c>
      <c r="BD99" s="142"/>
      <c r="BE99" s="102"/>
      <c r="BF99" s="101"/>
    </row>
    <row r="100" spans="2:58" x14ac:dyDescent="0.25">
      <c r="B100" s="105" t="str">
        <f>$B$37</f>
        <v>Avoided fuel costs</v>
      </c>
      <c r="C100" s="105"/>
      <c r="D100" s="203">
        <f>SUMIF('Weighted calculations'!$B$77:$B$80,$E$89,'Weighted calculations'!E$77:E$80)</f>
        <v>0</v>
      </c>
      <c r="E100" s="203">
        <f>SUMIF('Weighted calculations'!$B$77:$B$80,$E$89,'Weighted calculations'!F$77:F$80)</f>
        <v>-216.97541189193726</v>
      </c>
      <c r="F100" s="203">
        <f>SUMIF('Weighted calculations'!$B$77:$B$80,$E$89,'Weighted calculations'!G$77:G$80)</f>
        <v>-89108.513624191284</v>
      </c>
      <c r="G100" s="203">
        <f>SUMIF('Weighted calculations'!$B$77:$B$80,$E$89,'Weighted calculations'!H$77:H$80)</f>
        <v>766400.7291469574</v>
      </c>
      <c r="H100" s="203">
        <f>SUMIF('Weighted calculations'!$B$77:$B$80,$E$89,'Weighted calculations'!I$77:I$80)</f>
        <v>2202247.7943053246</v>
      </c>
      <c r="I100" s="203">
        <f>SUMIF('Weighted calculations'!$B$77:$B$80,$E$89,'Weighted calculations'!J$77:J$80)</f>
        <v>846049.97324228287</v>
      </c>
      <c r="J100" s="203">
        <f>SUMIF('Weighted calculations'!$B$77:$B$80,$E$89,'Weighted calculations'!K$77:K$80)</f>
        <v>-241166.38786268234</v>
      </c>
      <c r="K100" s="203">
        <f>SUMIF('Weighted calculations'!$B$77:$B$80,$E$89,'Weighted calculations'!L$77:L$80)</f>
        <v>398310.42044639587</v>
      </c>
      <c r="L100" s="203">
        <f>SUMIF('Weighted calculations'!$B$77:$B$80,$E$89,'Weighted calculations'!M$77:M$80)</f>
        <v>2466050.6807131767</v>
      </c>
      <c r="M100" s="203">
        <f>SUMIF('Weighted calculations'!$B$77:$B$80,$E$89,'Weighted calculations'!N$77:N$80)</f>
        <v>3114533.6678988934</v>
      </c>
      <c r="N100" s="203">
        <f>SUMIF('Weighted calculations'!$B$77:$B$80,$E$89,'Weighted calculations'!O$77:O$80)</f>
        <v>1364730.3166196346</v>
      </c>
      <c r="O100" s="203">
        <f>SUMIF('Weighted calculations'!$B$77:$B$80,$E$89,'Weighted calculations'!P$77:P$80)</f>
        <v>3382471.7379777431</v>
      </c>
      <c r="P100" s="203">
        <f>SUMIF('Weighted calculations'!$B$77:$B$80,$E$89,'Weighted calculations'!Q$77:Q$80)</f>
        <v>8906343.4637718201</v>
      </c>
      <c r="Q100" s="203">
        <f>SUMIF('Weighted calculations'!$B$77:$B$80,$E$89,'Weighted calculations'!R$77:R$80)</f>
        <v>9085491.857060194</v>
      </c>
      <c r="R100" s="203">
        <f>SUMIF('Weighted calculations'!$B$77:$B$80,$E$89,'Weighted calculations'!S$77:S$80)</f>
        <v>15633288.045065403</v>
      </c>
      <c r="S100" s="203">
        <f>SUMIF('Weighted calculations'!$B$77:$B$80,$E$89,'Weighted calculations'!T$77:T$80)</f>
        <v>-3320579.2870967388</v>
      </c>
      <c r="T100" s="203">
        <f>SUMIF('Weighted calculations'!$B$77:$B$80,$E$89,'Weighted calculations'!U$77:U$80)</f>
        <v>6289345.8797898293</v>
      </c>
      <c r="U100" s="203">
        <f>SUMIF('Weighted calculations'!$B$77:$B$80,$E$89,'Weighted calculations'!V$77:V$80)</f>
        <v>2047622.295113802</v>
      </c>
      <c r="V100" s="203">
        <f>SUMIF('Weighted calculations'!$B$77:$B$80,$E$89,'Weighted calculations'!W$77:W$80)</f>
        <v>9492134.9318013191</v>
      </c>
      <c r="W100" s="203">
        <f>SUMIF('Weighted calculations'!$B$77:$B$80,$E$89,'Weighted calculations'!X$77:X$80)</f>
        <v>7043800.7631456852</v>
      </c>
      <c r="X100" s="203">
        <f>SUMIF('Weighted calculations'!$B$77:$B$80,$E$89,'Weighted calculations'!Y$77:Y$80)</f>
        <v>17509036.166372776</v>
      </c>
      <c r="Y100" s="203">
        <f>SUMIF('Weighted calculations'!$B$77:$B$80,$E$89,'Weighted calculations'!Z$77:Z$80)</f>
        <v>14670758.427850246</v>
      </c>
      <c r="Z100" s="203">
        <f>SUMIF('Weighted calculations'!$B$77:$B$80,$E$89,'Weighted calculations'!AA$77:AA$80)</f>
        <v>21795397.785376072</v>
      </c>
      <c r="AA100" s="203">
        <f>SUMIF('Weighted calculations'!$B$77:$B$80,$E$89,'Weighted calculations'!AB$77:AB$80)</f>
        <v>20975986.81409049</v>
      </c>
      <c r="AB100" s="203">
        <f>SUMIF('Weighted calculations'!$B$77:$B$80,$E$89,'Weighted calculations'!AC$77:AC$80)</f>
        <v>29462674.580341339</v>
      </c>
      <c r="AC100" s="203">
        <f>SUMIF('Weighted calculations'!$B$77:$B$80,$E$89,'Weighted calculations'!AD$77:AD$80)</f>
        <v>23666269.114928484</v>
      </c>
      <c r="BD100" s="146"/>
      <c r="BF100" s="101"/>
    </row>
    <row r="101" spans="2:58" x14ac:dyDescent="0.25">
      <c r="B101" s="105" t="str">
        <f>$B$38</f>
        <v>Avoided voluntary load curtailment</v>
      </c>
      <c r="C101" s="105"/>
      <c r="D101" s="203">
        <f>SUMIF('Weighted calculations'!$B$83:$B$86,$E$89,'Weighted calculations'!E$83:E$86)</f>
        <v>0</v>
      </c>
      <c r="E101" s="203">
        <f>SUMIF('Weighted calculations'!$B$83:$B$86,$E$89,'Weighted calculations'!F$83:F$86)</f>
        <v>0.12419850379956188</v>
      </c>
      <c r="F101" s="203">
        <f>SUMIF('Weighted calculations'!$B$83:$B$86,$E$89,'Weighted calculations'!G$83:G$86)</f>
        <v>0.12696335947839543</v>
      </c>
      <c r="G101" s="203">
        <f>SUMIF('Weighted calculations'!$B$83:$B$86,$E$89,'Weighted calculations'!H$83:H$86)</f>
        <v>326759.26590282237</v>
      </c>
      <c r="H101" s="203">
        <f>SUMIF('Weighted calculations'!$B$83:$B$86,$E$89,'Weighted calculations'!I$83:I$86)</f>
        <v>-347400.69146936759</v>
      </c>
      <c r="I101" s="203">
        <f>SUMIF('Weighted calculations'!$B$83:$B$86,$E$89,'Weighted calculations'!J$83:J$86)</f>
        <v>-87413.875962456688</v>
      </c>
      <c r="J101" s="203">
        <f>SUMIF('Weighted calculations'!$B$83:$B$86,$E$89,'Weighted calculations'!K$83:K$86)</f>
        <v>0.17382069534362898</v>
      </c>
      <c r="K101" s="203">
        <f>SUMIF('Weighted calculations'!$B$83:$B$86,$E$89,'Weighted calculations'!L$83:L$86)</f>
        <v>0.18133479068409475</v>
      </c>
      <c r="L101" s="203">
        <f>SUMIF('Weighted calculations'!$B$83:$B$86,$E$89,'Weighted calculations'!M$83:M$86)</f>
        <v>0.20202793209941738</v>
      </c>
      <c r="M101" s="203">
        <f>SUMIF('Weighted calculations'!$B$83:$B$86,$E$89,'Weighted calculations'!N$83:N$86)</f>
        <v>-54288.33983984217</v>
      </c>
      <c r="N101" s="203">
        <f>SUMIF('Weighted calculations'!$B$83:$B$86,$E$89,'Weighted calculations'!O$83:O$86)</f>
        <v>-13709.115908223204</v>
      </c>
      <c r="O101" s="203">
        <f>SUMIF('Weighted calculations'!$B$83:$B$86,$E$89,'Weighted calculations'!P$83:P$86)</f>
        <v>15611.959847653285</v>
      </c>
      <c r="P101" s="203">
        <f>SUMIF('Weighted calculations'!$B$83:$B$86,$E$89,'Weighted calculations'!Q$83:Q$86)</f>
        <v>36622.883831057698</v>
      </c>
      <c r="Q101" s="203">
        <f>SUMIF('Weighted calculations'!$B$83:$B$86,$E$89,'Weighted calculations'!R$83:R$86)</f>
        <v>-125948.41979439976</v>
      </c>
      <c r="R101" s="203">
        <f>SUMIF('Weighted calculations'!$B$83:$B$86,$E$89,'Weighted calculations'!S$83:S$86)</f>
        <v>1029955.5112042353</v>
      </c>
      <c r="S101" s="203">
        <f>SUMIF('Weighted calculations'!$B$83:$B$86,$E$89,'Weighted calculations'!T$83:T$86)</f>
        <v>1788107.6384835942</v>
      </c>
      <c r="T101" s="203">
        <f>SUMIF('Weighted calculations'!$B$83:$B$86,$E$89,'Weighted calculations'!U$83:U$86)</f>
        <v>5191955.2423696276</v>
      </c>
      <c r="U101" s="203">
        <f>SUMIF('Weighted calculations'!$B$83:$B$86,$E$89,'Weighted calculations'!V$83:V$86)</f>
        <v>0.34937866356571412</v>
      </c>
      <c r="V101" s="203">
        <f>SUMIF('Weighted calculations'!$B$83:$B$86,$E$89,'Weighted calculations'!W$83:W$86)</f>
        <v>0.37875697099807049</v>
      </c>
      <c r="W101" s="203">
        <f>SUMIF('Weighted calculations'!$B$83:$B$86,$E$89,'Weighted calculations'!X$83:X$86)</f>
        <v>54166.836710560601</v>
      </c>
      <c r="X101" s="203">
        <f>SUMIF('Weighted calculations'!$B$83:$B$86,$E$89,'Weighted calculations'!Y$83:Y$86)</f>
        <v>8041186.4806538634</v>
      </c>
      <c r="Y101" s="203">
        <f>SUMIF('Weighted calculations'!$B$83:$B$86,$E$89,'Weighted calculations'!Z$83:Z$86)</f>
        <v>1491829.4799225247</v>
      </c>
      <c r="Z101" s="203">
        <f>SUMIF('Weighted calculations'!$B$83:$B$86,$E$89,'Weighted calculations'!AA$83:AA$86)</f>
        <v>15862208.96994623</v>
      </c>
      <c r="AA101" s="203">
        <f>SUMIF('Weighted calculations'!$B$83:$B$86,$E$89,'Weighted calculations'!AB$83:AB$86)</f>
        <v>5302770.2735590637</v>
      </c>
      <c r="AB101" s="203">
        <f>SUMIF('Weighted calculations'!$B$83:$B$86,$E$89,'Weighted calculations'!AC$83:AC$86)</f>
        <v>27996406.033400297</v>
      </c>
      <c r="AC101" s="203">
        <f>SUMIF('Weighted calculations'!$B$83:$B$86,$E$89,'Weighted calculations'!AD$83:AD$86)</f>
        <v>47052994.78862685</v>
      </c>
      <c r="BD101" s="116"/>
      <c r="BF101" s="101"/>
    </row>
    <row r="102" spans="2:58" x14ac:dyDescent="0.25">
      <c r="B102" s="105" t="str">
        <f>$B$39</f>
        <v>Avoided generation/storage costs (excl. fuel costs)</v>
      </c>
      <c r="C102" s="105"/>
      <c r="D102" s="203">
        <f>SUMIF('Weighted calculations'!$B$89:$B$92,$E$89,'Weighted calculations'!E$89:E$92)</f>
        <v>0</v>
      </c>
      <c r="E102" s="203">
        <f>SUMIF('Weighted calculations'!$B$89:$B$92,$E$89,'Weighted calculations'!F$89:F$92)</f>
        <v>25.066630125045776</v>
      </c>
      <c r="F102" s="203">
        <f>SUMIF('Weighted calculations'!$B$89:$B$92,$E$89,'Weighted calculations'!G$89:G$92)</f>
        <v>5712.3228920698166</v>
      </c>
      <c r="G102" s="203">
        <f>SUMIF('Weighted calculations'!$B$89:$B$92,$E$89,'Weighted calculations'!H$89:H$92)</f>
        <v>241003185.42762017</v>
      </c>
      <c r="H102" s="203">
        <f>SUMIF('Weighted calculations'!$B$89:$B$92,$E$89,'Weighted calculations'!I$89:I$92)</f>
        <v>-25818571.886700869</v>
      </c>
      <c r="I102" s="203">
        <f>SUMIF('Weighted calculations'!$B$89:$B$92,$E$89,'Weighted calculations'!J$89:J$92)</f>
        <v>-30832355.099377632</v>
      </c>
      <c r="J102" s="203">
        <f>SUMIF('Weighted calculations'!$B$89:$B$92,$E$89,'Weighted calculations'!K$89:K$92)</f>
        <v>-15992333.031597137</v>
      </c>
      <c r="K102" s="203">
        <f>SUMIF('Weighted calculations'!$B$89:$B$92,$E$89,'Weighted calculations'!L$89:L$92)</f>
        <v>13689884.293180943</v>
      </c>
      <c r="L102" s="203">
        <f>SUMIF('Weighted calculations'!$B$89:$B$92,$E$89,'Weighted calculations'!M$89:M$92)</f>
        <v>31068519.587863922</v>
      </c>
      <c r="M102" s="203">
        <f>SUMIF('Weighted calculations'!$B$89:$B$92,$E$89,'Weighted calculations'!N$89:N$92)</f>
        <v>24718120.750388145</v>
      </c>
      <c r="N102" s="203">
        <f>SUMIF('Weighted calculations'!$B$89:$B$92,$E$89,'Weighted calculations'!O$89:O$92)</f>
        <v>29945652.223619461</v>
      </c>
      <c r="O102" s="203">
        <f>SUMIF('Weighted calculations'!$B$89:$B$92,$E$89,'Weighted calculations'!P$89:P$92)</f>
        <v>-61354288.663303375</v>
      </c>
      <c r="P102" s="203">
        <f>SUMIF('Weighted calculations'!$B$89:$B$92,$E$89,'Weighted calculations'!Q$89:Q$92)</f>
        <v>-38400783.253278732</v>
      </c>
      <c r="Q102" s="203">
        <f>SUMIF('Weighted calculations'!$B$89:$B$92,$E$89,'Weighted calculations'!R$89:R$92)</f>
        <v>56185035.994997501</v>
      </c>
      <c r="R102" s="203">
        <f>SUMIF('Weighted calculations'!$B$89:$B$92,$E$89,'Weighted calculations'!S$89:S$92)</f>
        <v>-33165493.300700188</v>
      </c>
      <c r="S102" s="203">
        <f>SUMIF('Weighted calculations'!$B$89:$B$92,$E$89,'Weighted calculations'!T$89:T$92)</f>
        <v>104465495.42736101</v>
      </c>
      <c r="T102" s="203">
        <f>SUMIF('Weighted calculations'!$B$89:$B$92,$E$89,'Weighted calculations'!U$89:U$92)</f>
        <v>117464705.02268219</v>
      </c>
      <c r="U102" s="203">
        <f>SUMIF('Weighted calculations'!$B$89:$B$92,$E$89,'Weighted calculations'!V$89:V$92)</f>
        <v>5158211.0545921326</v>
      </c>
      <c r="V102" s="203">
        <f>SUMIF('Weighted calculations'!$B$89:$B$92,$E$89,'Weighted calculations'!W$89:W$92)</f>
        <v>-71372234.097266197</v>
      </c>
      <c r="W102" s="203">
        <f>SUMIF('Weighted calculations'!$B$89:$B$92,$E$89,'Weighted calculations'!X$89:X$92)</f>
        <v>-23685709.344594955</v>
      </c>
      <c r="X102" s="203">
        <f>SUMIF('Weighted calculations'!$B$89:$B$92,$E$89,'Weighted calculations'!Y$89:Y$92)</f>
        <v>8533108.4398384094</v>
      </c>
      <c r="Y102" s="203">
        <f>SUMIF('Weighted calculations'!$B$89:$B$92,$E$89,'Weighted calculations'!Z$89:Z$92)</f>
        <v>13928558.932641029</v>
      </c>
      <c r="Z102" s="203">
        <f>SUMIF('Weighted calculations'!$B$89:$B$92,$E$89,'Weighted calculations'!AA$89:AA$92)</f>
        <v>-6189044.1551060677</v>
      </c>
      <c r="AA102" s="203">
        <f>SUMIF('Weighted calculations'!$B$89:$B$92,$E$89,'Weighted calculations'!AB$89:AB$92)</f>
        <v>-895079.77723395824</v>
      </c>
      <c r="AB102" s="203">
        <f>SUMIF('Weighted calculations'!$B$89:$B$92,$E$89,'Weighted calculations'!AC$89:AC$92)</f>
        <v>77237946.973473549</v>
      </c>
      <c r="AC102" s="203">
        <f>SUMIF('Weighted calculations'!$B$89:$B$92,$E$89,'Weighted calculations'!AD$89:AD$92)</f>
        <v>-13621875.780478716</v>
      </c>
      <c r="BD102" s="116"/>
      <c r="BF102" s="101"/>
    </row>
    <row r="103" spans="2:58" x14ac:dyDescent="0.25">
      <c r="U103" s="101"/>
      <c r="X103" s="101"/>
      <c r="Y103" s="101"/>
      <c r="Z103" s="101"/>
      <c r="AA103" s="101"/>
      <c r="AB103" s="101"/>
      <c r="AC103" s="101"/>
      <c r="BD103" s="116"/>
      <c r="BF103" s="101"/>
    </row>
    <row r="104" spans="2:58" ht="13" x14ac:dyDescent="0.3">
      <c r="B104" s="104" t="str">
        <f>B16</f>
        <v>Scenario 3</v>
      </c>
      <c r="C104" s="104"/>
      <c r="D104" s="107" t="str">
        <f>Calculation!G$33</f>
        <v>2019-20</v>
      </c>
      <c r="E104" s="107" t="str">
        <f>Calculation!H$33</f>
        <v>2020-21</v>
      </c>
      <c r="F104" s="107" t="str">
        <f>Calculation!I$33</f>
        <v>2021-22</v>
      </c>
      <c r="G104" s="107" t="str">
        <f>Calculation!J$33</f>
        <v>2022-23</v>
      </c>
      <c r="H104" s="107" t="str">
        <f>Calculation!K$33</f>
        <v>2023-24</v>
      </c>
      <c r="I104" s="107" t="str">
        <f>Calculation!L$33</f>
        <v>2024-25</v>
      </c>
      <c r="J104" s="107" t="str">
        <f>Calculation!M$33</f>
        <v>2025-26</v>
      </c>
      <c r="K104" s="107" t="str">
        <f>Calculation!N$33</f>
        <v>2026-27</v>
      </c>
      <c r="L104" s="107" t="str">
        <f>Calculation!O$33</f>
        <v>2027-28</v>
      </c>
      <c r="M104" s="107" t="str">
        <f>Calculation!P$33</f>
        <v>2028-29</v>
      </c>
      <c r="N104" s="107" t="str">
        <f>Calculation!Q$33</f>
        <v>2029-30</v>
      </c>
      <c r="O104" s="107" t="str">
        <f>Calculation!R$33</f>
        <v>2030-31</v>
      </c>
      <c r="P104" s="107" t="str">
        <f>Calculation!S$33</f>
        <v>2031-32</v>
      </c>
      <c r="Q104" s="107" t="str">
        <f>Calculation!T$33</f>
        <v>2032-33</v>
      </c>
      <c r="R104" s="107" t="str">
        <f>Calculation!U$33</f>
        <v>2033-34</v>
      </c>
      <c r="S104" s="107" t="str">
        <f>Calculation!V$33</f>
        <v>2034-35</v>
      </c>
      <c r="T104" s="107" t="str">
        <f>Calculation!W$33</f>
        <v>2035-36</v>
      </c>
      <c r="U104" s="107" t="str">
        <f>Calculation!X$33</f>
        <v>2036-37</v>
      </c>
      <c r="V104" s="107" t="str">
        <f>Calculation!Y$33</f>
        <v>2037-38</v>
      </c>
      <c r="W104" s="107" t="str">
        <f>Calculation!Z$33</f>
        <v>2038-39</v>
      </c>
      <c r="X104" s="107" t="str">
        <f>Calculation!AA$33</f>
        <v>2039-40</v>
      </c>
      <c r="Y104" s="107" t="str">
        <f>Calculation!AB$33</f>
        <v>2040-41</v>
      </c>
      <c r="Z104" s="107" t="str">
        <f>Calculation!AC$33</f>
        <v>2041-42</v>
      </c>
      <c r="AA104" s="107" t="str">
        <f>Calculation!AD$33</f>
        <v>2042-43</v>
      </c>
      <c r="AB104" s="107" t="str">
        <f>Calculation!AE$33</f>
        <v>2043-44</v>
      </c>
      <c r="AC104" s="107" t="str">
        <f>Calculation!AF$33</f>
        <v>2044-45</v>
      </c>
      <c r="BD104" s="116"/>
      <c r="BF104" s="101"/>
    </row>
    <row r="105" spans="2:58" x14ac:dyDescent="0.25">
      <c r="B105" s="105" t="str">
        <f>$B$35</f>
        <v>Avoided unserved energy</v>
      </c>
      <c r="C105" s="105"/>
      <c r="D105" s="203">
        <f>SUMIF('Weighted calculations'!$B$96:$B$99,$E$89,'Weighted calculations'!E$96:E$99)</f>
        <v>0</v>
      </c>
      <c r="E105" s="203">
        <f>SUMIF('Weighted calculations'!$B$96:$B$99,$E$89,'Weighted calculations'!F$96:F$99)</f>
        <v>-21.8353038020432</v>
      </c>
      <c r="F105" s="203">
        <f>SUMIF('Weighted calculations'!$B$96:$B$99,$E$89,'Weighted calculations'!G$96:G$99)</f>
        <v>-13.355060137808323</v>
      </c>
      <c r="G105" s="203">
        <f>SUMIF('Weighted calculations'!$B$96:$B$99,$E$89,'Weighted calculations'!H$96:H$99)</f>
        <v>3203422.3080667332</v>
      </c>
      <c r="H105" s="203">
        <f>SUMIF('Weighted calculations'!$B$96:$B$99,$E$89,'Weighted calculations'!I$96:I$99)</f>
        <v>-1030198.3288596403</v>
      </c>
      <c r="I105" s="203">
        <f>SUMIF('Weighted calculations'!$B$96:$B$99,$E$89,'Weighted calculations'!J$96:J$99)</f>
        <v>1447633.8399096802</v>
      </c>
      <c r="J105" s="203">
        <f>SUMIF('Weighted calculations'!$B$96:$B$99,$E$89,'Weighted calculations'!K$96:K$99)</f>
        <v>2401294.8034064323</v>
      </c>
      <c r="K105" s="203">
        <f>SUMIF('Weighted calculations'!$B$96:$B$99,$E$89,'Weighted calculations'!L$96:L$99)</f>
        <v>1166324.3027268508</v>
      </c>
      <c r="L105" s="203">
        <f>SUMIF('Weighted calculations'!$B$96:$B$99,$E$89,'Weighted calculations'!M$96:M$99)</f>
        <v>1434810.661963325</v>
      </c>
      <c r="M105" s="203">
        <f>SUMIF('Weighted calculations'!$B$96:$B$99,$E$89,'Weighted calculations'!N$96:N$99)</f>
        <v>-10952864.630444378</v>
      </c>
      <c r="N105" s="203">
        <f>SUMIF('Weighted calculations'!$B$96:$B$99,$E$89,'Weighted calculations'!O$96:O$99)</f>
        <v>-314908.24198464584</v>
      </c>
      <c r="O105" s="203">
        <f>SUMIF('Weighted calculations'!$B$96:$B$99,$E$89,'Weighted calculations'!P$96:P$99)</f>
        <v>7.5373041945292814</v>
      </c>
      <c r="P105" s="203">
        <f>SUMIF('Weighted calculations'!$B$96:$B$99,$E$89,'Weighted calculations'!Q$96:Q$99)</f>
        <v>760996.7991322726</v>
      </c>
      <c r="Q105" s="203">
        <f>SUMIF('Weighted calculations'!$B$96:$B$99,$E$89,'Weighted calculations'!R$96:R$99)</f>
        <v>-1453671.1038950905</v>
      </c>
      <c r="R105" s="203">
        <f>SUMIF('Weighted calculations'!$B$96:$B$99,$E$89,'Weighted calculations'!S$96:S$99)</f>
        <v>501451.81085582078</v>
      </c>
      <c r="S105" s="203">
        <f>SUMIF('Weighted calculations'!$B$96:$B$99,$E$89,'Weighted calculations'!T$96:T$99)</f>
        <v>-266817.77259390289</v>
      </c>
      <c r="T105" s="203">
        <f>SUMIF('Weighted calculations'!$B$96:$B$99,$E$89,'Weighted calculations'!U$96:U$99)</f>
        <v>6953095.8222247958</v>
      </c>
      <c r="U105" s="203">
        <f>SUMIF('Weighted calculations'!$B$96:$B$99,$E$89,'Weighted calculations'!V$96:V$99)</f>
        <v>84697.434182081022</v>
      </c>
      <c r="V105" s="203">
        <f>SUMIF('Weighted calculations'!$B$96:$B$99,$E$89,'Weighted calculations'!W$96:W$99)</f>
        <v>6506526.9879969358</v>
      </c>
      <c r="W105" s="203">
        <f>SUMIF('Weighted calculations'!$B$96:$B$99,$E$89,'Weighted calculations'!X$96:X$99)</f>
        <v>2192017.7779188352</v>
      </c>
      <c r="X105" s="203">
        <f>SUMIF('Weighted calculations'!$B$96:$B$99,$E$89,'Weighted calculations'!Y$96:Y$99)</f>
        <v>-25653.655966029502</v>
      </c>
      <c r="Y105" s="203">
        <f>SUMIF('Weighted calculations'!$B$96:$B$99,$E$89,'Weighted calculations'!Z$96:Z$99)</f>
        <v>-110915.4317766875</v>
      </c>
      <c r="Z105" s="203">
        <f>SUMIF('Weighted calculations'!$B$96:$B$99,$E$89,'Weighted calculations'!AA$96:AA$99)</f>
        <v>-181127.51843079366</v>
      </c>
      <c r="AA105" s="203">
        <f>SUMIF('Weighted calculations'!$B$96:$B$99,$E$89,'Weighted calculations'!AB$96:AB$99)</f>
        <v>3672639.4702585191</v>
      </c>
      <c r="AB105" s="203">
        <f>SUMIF('Weighted calculations'!$B$96:$B$99,$E$89,'Weighted calculations'!AC$96:AC$99)</f>
        <v>784985.18597786129</v>
      </c>
      <c r="AC105" s="203">
        <f>SUMIF('Weighted calculations'!$B$96:$B$99,$E$89,'Weighted calculations'!AD$96:AD$99)</f>
        <v>16.271542965705457</v>
      </c>
      <c r="BD105" s="116"/>
      <c r="BF105" s="101"/>
    </row>
    <row r="106" spans="2:58" x14ac:dyDescent="0.25">
      <c r="B106" s="105" t="str">
        <f>$B$36</f>
        <v>Avoided REZ transmission capex</v>
      </c>
      <c r="C106" s="105"/>
      <c r="D106" s="203">
        <f>SUMIF('Weighted calculations'!$B$102:$B$105,$E$89,'Weighted calculations'!E$102:E$105)</f>
        <v>0</v>
      </c>
      <c r="E106" s="203">
        <f>SUMIF('Weighted calculations'!$B$102:$B$105,$E$89,'Weighted calculations'!F$102:F$105)</f>
        <v>51.447241197338229</v>
      </c>
      <c r="F106" s="203">
        <f>SUMIF('Weighted calculations'!$B$102:$B$105,$E$89,'Weighted calculations'!G$102:G$105)</f>
        <v>1.7481779049659001</v>
      </c>
      <c r="G106" s="203">
        <f>SUMIF('Weighted calculations'!$B$102:$B$105,$E$89,'Weighted calculations'!H$102:H$105)</f>
        <v>6.0559439649458122</v>
      </c>
      <c r="H106" s="203">
        <f>SUMIF('Weighted calculations'!$B$102:$B$105,$E$89,'Weighted calculations'!I$102:I$105)</f>
        <v>1.9516991307177236</v>
      </c>
      <c r="I106" s="203">
        <f>SUMIF('Weighted calculations'!$B$102:$B$105,$E$89,'Weighted calculations'!J$102:J$105)</f>
        <v>2.5437491426821253</v>
      </c>
      <c r="J106" s="203">
        <f>SUMIF('Weighted calculations'!$B$102:$B$105,$E$89,'Weighted calculations'!K$102:K$105)</f>
        <v>3.7097207213373311</v>
      </c>
      <c r="K106" s="203">
        <f>SUMIF('Weighted calculations'!$B$102:$B$105,$E$89,'Weighted calculations'!L$102:L$105)</f>
        <v>3.4742101867053528</v>
      </c>
      <c r="L106" s="203">
        <f>SUMIF('Weighted calculations'!$B$102:$B$105,$E$89,'Weighted calculations'!M$102:M$105)</f>
        <v>2.5922700408404817</v>
      </c>
      <c r="M106" s="203">
        <f>SUMIF('Weighted calculations'!$B$102:$B$105,$E$89,'Weighted calculations'!N$102:N$105)</f>
        <v>14.989431323465748</v>
      </c>
      <c r="N106" s="203">
        <f>SUMIF('Weighted calculations'!$B$102:$B$105,$E$89,'Weighted calculations'!O$102:O$105)</f>
        <v>20.556397543968384</v>
      </c>
      <c r="O106" s="203">
        <f>SUMIF('Weighted calculations'!$B$102:$B$105,$E$89,'Weighted calculations'!P$102:P$105)</f>
        <v>1.2848196561629632</v>
      </c>
      <c r="P106" s="203">
        <f>SUMIF('Weighted calculations'!$B$102:$B$105,$E$89,'Weighted calculations'!Q$102:Q$105)</f>
        <v>0.74281716936877917</v>
      </c>
      <c r="Q106" s="203">
        <f>SUMIF('Weighted calculations'!$B$102:$B$105,$E$89,'Weighted calculations'!R$102:R$105)</f>
        <v>6.8959656592939362</v>
      </c>
      <c r="R106" s="203">
        <f>SUMIF('Weighted calculations'!$B$102:$B$105,$E$89,'Weighted calculations'!S$102:S$105)</f>
        <v>7.4136008145963812</v>
      </c>
      <c r="S106" s="203">
        <f>SUMIF('Weighted calculations'!$B$102:$B$105,$E$89,'Weighted calculations'!T$102:T$105)</f>
        <v>1.1560013730792802</v>
      </c>
      <c r="T106" s="203">
        <f>SUMIF('Weighted calculations'!$B$102:$B$105,$E$89,'Weighted calculations'!U$102:U$105)</f>
        <v>40715486.497149467</v>
      </c>
      <c r="U106" s="203">
        <f>SUMIF('Weighted calculations'!$B$102:$B$105,$E$89,'Weighted calculations'!V$102:V$105)</f>
        <v>-3176357.2878240347</v>
      </c>
      <c r="V106" s="203">
        <f>SUMIF('Weighted calculations'!$B$102:$B$105,$E$89,'Weighted calculations'!W$102:W$105)</f>
        <v>-10453921.437902933</v>
      </c>
      <c r="W106" s="203">
        <f>SUMIF('Weighted calculations'!$B$102:$B$105,$E$89,'Weighted calculations'!X$102:X$105)</f>
        <v>5224271.5055959225</v>
      </c>
      <c r="X106" s="203">
        <f>SUMIF('Weighted calculations'!$B$102:$B$105,$E$89,'Weighted calculations'!Y$102:Y$105)</f>
        <v>-4485329.8484307528</v>
      </c>
      <c r="Y106" s="203">
        <f>SUMIF('Weighted calculations'!$B$102:$B$105,$E$89,'Weighted calculations'!Z$102:Z$105)</f>
        <v>-4819596.3700735867</v>
      </c>
      <c r="Z106" s="203">
        <f>SUMIF('Weighted calculations'!$B$102:$B$105,$E$89,'Weighted calculations'!AA$102:AA$105)</f>
        <v>-2139174.6645336375</v>
      </c>
      <c r="AA106" s="203">
        <f>SUMIF('Weighted calculations'!$B$102:$B$105,$E$89,'Weighted calculations'!AB$102:AB$105)</f>
        <v>2.5260290619180275</v>
      </c>
      <c r="AB106" s="203">
        <f>SUMIF('Weighted calculations'!$B$102:$B$105,$E$89,'Weighted calculations'!AC$102:AC$105)</f>
        <v>-2472942.4599510133</v>
      </c>
      <c r="AC106" s="203">
        <f>SUMIF('Weighted calculations'!$B$102:$B$105,$E$89,'Weighted calculations'!AD$102:AD$105)</f>
        <v>-879294.92573674081</v>
      </c>
      <c r="BD106" s="116"/>
      <c r="BF106" s="101"/>
    </row>
    <row r="107" spans="2:58" x14ac:dyDescent="0.25">
      <c r="B107" s="105" t="str">
        <f>$B$37</f>
        <v>Avoided fuel costs</v>
      </c>
      <c r="C107" s="105"/>
      <c r="D107" s="203">
        <f>SUMIF('Weighted calculations'!$B$108:$B$111,$E$89,'Weighted calculations'!E$108:E$111)</f>
        <v>0</v>
      </c>
      <c r="E107" s="203">
        <f>SUMIF('Weighted calculations'!$B$108:$B$111,$E$89,'Weighted calculations'!F$108:F$111)</f>
        <v>6.5379595756530762</v>
      </c>
      <c r="F107" s="203">
        <f>SUMIF('Weighted calculations'!$B$108:$B$111,$E$89,'Weighted calculations'!G$108:G$111)</f>
        <v>-14634.744348526001</v>
      </c>
      <c r="G107" s="203">
        <f>SUMIF('Weighted calculations'!$B$108:$B$111,$E$89,'Weighted calculations'!H$108:H$111)</f>
        <v>4240185.399020195</v>
      </c>
      <c r="H107" s="203">
        <f>SUMIF('Weighted calculations'!$B$108:$B$111,$E$89,'Weighted calculations'!I$108:I$111)</f>
        <v>3911946.7438850403</v>
      </c>
      <c r="I107" s="203">
        <f>SUMIF('Weighted calculations'!$B$108:$B$111,$E$89,'Weighted calculations'!J$108:J$111)</f>
        <v>4480419.7468147278</v>
      </c>
      <c r="J107" s="203">
        <f>SUMIF('Weighted calculations'!$B$108:$B$111,$E$89,'Weighted calculations'!K$108:K$111)</f>
        <v>4070540.5043673515</v>
      </c>
      <c r="K107" s="203">
        <f>SUMIF('Weighted calculations'!$B$108:$B$111,$E$89,'Weighted calculations'!L$108:L$111)</f>
        <v>5125764.3149199486</v>
      </c>
      <c r="L107" s="203">
        <f>SUMIF('Weighted calculations'!$B$108:$B$111,$E$89,'Weighted calculations'!M$108:M$111)</f>
        <v>5776020.8584432602</v>
      </c>
      <c r="M107" s="203">
        <f>SUMIF('Weighted calculations'!$B$108:$B$111,$E$89,'Weighted calculations'!N$108:N$111)</f>
        <v>2646546.7581176758</v>
      </c>
      <c r="N107" s="203">
        <f>SUMIF('Weighted calculations'!$B$108:$B$111,$E$89,'Weighted calculations'!O$108:O$111)</f>
        <v>-1167078.2443933487</v>
      </c>
      <c r="O107" s="203">
        <f>SUMIF('Weighted calculations'!$B$108:$B$111,$E$89,'Weighted calculations'!P$108:P$111)</f>
        <v>-2100083.5098059177</v>
      </c>
      <c r="P107" s="203">
        <f>SUMIF('Weighted calculations'!$B$108:$B$111,$E$89,'Weighted calculations'!Q$108:Q$111)</f>
        <v>-1125943.6956117153</v>
      </c>
      <c r="Q107" s="203">
        <f>SUMIF('Weighted calculations'!$B$108:$B$111,$E$89,'Weighted calculations'!R$108:R$111)</f>
        <v>2032898.9376058578</v>
      </c>
      <c r="R107" s="203">
        <f>SUMIF('Weighted calculations'!$B$108:$B$111,$E$89,'Weighted calculations'!S$108:S$111)</f>
        <v>6369576.9542329311</v>
      </c>
      <c r="S107" s="203">
        <f>SUMIF('Weighted calculations'!$B$108:$B$111,$E$89,'Weighted calculations'!T$108:T$111)</f>
        <v>1681643.9149911404</v>
      </c>
      <c r="T107" s="203">
        <f>SUMIF('Weighted calculations'!$B$108:$B$111,$E$89,'Weighted calculations'!U$108:U$111)</f>
        <v>1316092.9838972092</v>
      </c>
      <c r="U107" s="203">
        <f>SUMIF('Weighted calculations'!$B$108:$B$111,$E$89,'Weighted calculations'!V$108:V$111)</f>
        <v>-8855743.8738076687</v>
      </c>
      <c r="V107" s="203">
        <f>SUMIF('Weighted calculations'!$B$108:$B$111,$E$89,'Weighted calculations'!W$108:W$111)</f>
        <v>21396638.762179852</v>
      </c>
      <c r="W107" s="203">
        <f>SUMIF('Weighted calculations'!$B$108:$B$111,$E$89,'Weighted calculations'!X$108:X$111)</f>
        <v>7610024.6067769527</v>
      </c>
      <c r="X107" s="203">
        <f>SUMIF('Weighted calculations'!$B$108:$B$111,$E$89,'Weighted calculations'!Y$108:Y$111)</f>
        <v>15444001.022275925</v>
      </c>
      <c r="Y107" s="203">
        <f>SUMIF('Weighted calculations'!$B$108:$B$111,$E$89,'Weighted calculations'!Z$108:Z$111)</f>
        <v>9950279.9618868828</v>
      </c>
      <c r="Z107" s="203">
        <f>SUMIF('Weighted calculations'!$B$108:$B$111,$E$89,'Weighted calculations'!AA$108:AA$111)</f>
        <v>16968043.535603523</v>
      </c>
      <c r="AA107" s="203">
        <f>SUMIF('Weighted calculations'!$B$108:$B$111,$E$89,'Weighted calculations'!AB$108:AB$111)</f>
        <v>16125888.850661993</v>
      </c>
      <c r="AB107" s="203">
        <f>SUMIF('Weighted calculations'!$B$108:$B$111,$E$89,'Weighted calculations'!AC$108:AC$111)</f>
        <v>19249940.911969185</v>
      </c>
      <c r="AC107" s="203">
        <f>SUMIF('Weighted calculations'!$B$108:$B$111,$E$89,'Weighted calculations'!AD$108:AD$111)</f>
        <v>10506366.248457909</v>
      </c>
      <c r="BD107" s="116"/>
      <c r="BF107" s="101"/>
    </row>
    <row r="108" spans="2:58" x14ac:dyDescent="0.25">
      <c r="B108" s="105" t="str">
        <f>$B$38</f>
        <v>Avoided voluntary load curtailment</v>
      </c>
      <c r="C108" s="105"/>
      <c r="D108" s="203">
        <f>SUMIF('Weighted calculations'!$B$114:$B$117,$E$89,'Weighted calculations'!E$114:E$117)</f>
        <v>0</v>
      </c>
      <c r="E108" s="203">
        <f>SUMIF('Weighted calculations'!$B$114:$B$117,$E$89,'Weighted calculations'!F$114:F$117)</f>
        <v>4.5651212384691462</v>
      </c>
      <c r="F108" s="203">
        <f>SUMIF('Weighted calculations'!$B$114:$B$117,$E$89,'Weighted calculations'!G$114:G$117)</f>
        <v>4.8043544718602789</v>
      </c>
      <c r="G108" s="203">
        <f>SUMIF('Weighted calculations'!$B$114:$B$117,$E$89,'Weighted calculations'!H$114:H$117)</f>
        <v>-6940.9532915083691</v>
      </c>
      <c r="H108" s="203">
        <f>SUMIF('Weighted calculations'!$B$114:$B$117,$E$89,'Weighted calculations'!I$114:I$117)</f>
        <v>104609.00356253295</v>
      </c>
      <c r="I108" s="203">
        <f>SUMIF('Weighted calculations'!$B$114:$B$117,$E$89,'Weighted calculations'!J$114:J$117)</f>
        <v>-11000.440134979668</v>
      </c>
      <c r="J108" s="203">
        <f>SUMIF('Weighted calculations'!$B$114:$B$117,$E$89,'Weighted calculations'!K$114:K$117)</f>
        <v>21779.51511356025</v>
      </c>
      <c r="K108" s="203">
        <f>SUMIF('Weighted calculations'!$B$114:$B$117,$E$89,'Weighted calculations'!L$114:L$117)</f>
        <v>-29252.869840389816</v>
      </c>
      <c r="L108" s="203">
        <f>SUMIF('Weighted calculations'!$B$114:$B$117,$E$89,'Weighted calculations'!M$114:M$117)</f>
        <v>110512.6639576375</v>
      </c>
      <c r="M108" s="203">
        <f>SUMIF('Weighted calculations'!$B$114:$B$117,$E$89,'Weighted calculations'!N$114:N$117)</f>
        <v>-160077.4152910891</v>
      </c>
      <c r="N108" s="203">
        <f>SUMIF('Weighted calculations'!$B$114:$B$117,$E$89,'Weighted calculations'!O$114:O$117)</f>
        <v>-39153.609877694631</v>
      </c>
      <c r="O108" s="203">
        <f>SUMIF('Weighted calculations'!$B$114:$B$117,$E$89,'Weighted calculations'!P$114:P$117)</f>
        <v>7.8887818896277722</v>
      </c>
      <c r="P108" s="203">
        <f>SUMIF('Weighted calculations'!$B$114:$B$117,$E$89,'Weighted calculations'!Q$114:Q$117)</f>
        <v>-11764.569308258127</v>
      </c>
      <c r="Q108" s="203">
        <f>SUMIF('Weighted calculations'!$B$114:$B$117,$E$89,'Weighted calculations'!R$114:R$117)</f>
        <v>-187715.30674870871</v>
      </c>
      <c r="R108" s="203">
        <f>SUMIF('Weighted calculations'!$B$114:$B$117,$E$89,'Weighted calculations'!S$114:S$117)</f>
        <v>-44534.605478698853</v>
      </c>
      <c r="S108" s="203">
        <f>SUMIF('Weighted calculations'!$B$114:$B$117,$E$89,'Weighted calculations'!T$114:T$117)</f>
        <v>-41328.835359639255</v>
      </c>
      <c r="T108" s="203">
        <f>SUMIF('Weighted calculations'!$B$114:$B$117,$E$89,'Weighted calculations'!U$114:U$117)</f>
        <v>196012.83500295691</v>
      </c>
      <c r="U108" s="203">
        <f>SUMIF('Weighted calculations'!$B$114:$B$117,$E$89,'Weighted calculations'!V$114:V$117)</f>
        <v>-222851.36347131152</v>
      </c>
      <c r="V108" s="203">
        <f>SUMIF('Weighted calculations'!$B$114:$B$117,$E$89,'Weighted calculations'!W$114:W$117)</f>
        <v>195548.88966305088</v>
      </c>
      <c r="W108" s="203">
        <f>SUMIF('Weighted calculations'!$B$114:$B$117,$E$89,'Weighted calculations'!X$114:X$117)</f>
        <v>76230.113121226896</v>
      </c>
      <c r="X108" s="203">
        <f>SUMIF('Weighted calculations'!$B$114:$B$117,$E$89,'Weighted calculations'!Y$114:Y$117)</f>
        <v>147696.78314167354</v>
      </c>
      <c r="Y108" s="203">
        <f>SUMIF('Weighted calculations'!$B$114:$B$117,$E$89,'Weighted calculations'!Z$114:Z$117)</f>
        <v>-237036.05773179885</v>
      </c>
      <c r="Z108" s="203">
        <f>SUMIF('Weighted calculations'!$B$114:$B$117,$E$89,'Weighted calculations'!AA$114:AA$117)</f>
        <v>-13825.760888224468</v>
      </c>
      <c r="AA108" s="203">
        <f>SUMIF('Weighted calculations'!$B$114:$B$117,$E$89,'Weighted calculations'!AB$114:AB$117)</f>
        <v>141607.93374394905</v>
      </c>
      <c r="AB108" s="203">
        <f>SUMIF('Weighted calculations'!$B$114:$B$117,$E$89,'Weighted calculations'!AC$114:AC$117)</f>
        <v>-1315966.436361664</v>
      </c>
      <c r="AC108" s="203">
        <f>SUMIF('Weighted calculations'!$B$114:$B$117,$E$89,'Weighted calculations'!AD$114:AD$117)</f>
        <v>6925.1493336918356</v>
      </c>
      <c r="BD108" s="116"/>
      <c r="BF108" s="101"/>
    </row>
    <row r="109" spans="2:58" x14ac:dyDescent="0.25">
      <c r="B109" s="105" t="str">
        <f>$B$39</f>
        <v>Avoided generation/storage costs (excl. fuel costs)</v>
      </c>
      <c r="C109" s="105"/>
      <c r="D109" s="203">
        <f>SUMIF('Weighted calculations'!$B$120:$B$123,$E$89,'Weighted calculations'!E$120:E$123)</f>
        <v>0</v>
      </c>
      <c r="E109" s="203">
        <f>SUMIF('Weighted calculations'!$B$120:$B$123,$E$89,'Weighted calculations'!F$120:F$123)</f>
        <v>1842.2788970470428</v>
      </c>
      <c r="F109" s="203">
        <f>SUMIF('Weighted calculations'!$B$120:$B$123,$E$89,'Weighted calculations'!G$120:G$123)</f>
        <v>2639.2808754444122</v>
      </c>
      <c r="G109" s="203">
        <f>SUMIF('Weighted calculations'!$B$120:$B$123,$E$89,'Weighted calculations'!H$120:H$123)</f>
        <v>125403706.58657861</v>
      </c>
      <c r="H109" s="203">
        <f>SUMIF('Weighted calculations'!$B$120:$B$123,$E$89,'Weighted calculations'!I$120:I$123)</f>
        <v>532658.98336052895</v>
      </c>
      <c r="I109" s="203">
        <f>SUMIF('Weighted calculations'!$B$120:$B$123,$E$89,'Weighted calculations'!J$120:J$123)</f>
        <v>28127921.399050593</v>
      </c>
      <c r="J109" s="203">
        <f>SUMIF('Weighted calculations'!$B$120:$B$123,$E$89,'Weighted calculations'!K$120:K$123)</f>
        <v>-7060324.8314560652</v>
      </c>
      <c r="K109" s="203">
        <f>SUMIF('Weighted calculations'!$B$120:$B$123,$E$89,'Weighted calculations'!L$120:L$123)</f>
        <v>364788.21609330177</v>
      </c>
      <c r="L109" s="203">
        <f>SUMIF('Weighted calculations'!$B$120:$B$123,$E$89,'Weighted calculations'!M$120:M$123)</f>
        <v>-10037711.91072464</v>
      </c>
      <c r="M109" s="203">
        <f>SUMIF('Weighted calculations'!$B$120:$B$123,$E$89,'Weighted calculations'!N$120:N$123)</f>
        <v>141800241.70857811</v>
      </c>
      <c r="N109" s="203">
        <f>SUMIF('Weighted calculations'!$B$120:$B$123,$E$89,'Weighted calculations'!O$120:O$123)</f>
        <v>13339969.457977057</v>
      </c>
      <c r="O109" s="203">
        <f>SUMIF('Weighted calculations'!$B$120:$B$123,$E$89,'Weighted calculations'!P$120:P$123)</f>
        <v>-1058824.4329900742</v>
      </c>
      <c r="P109" s="203">
        <f>SUMIF('Weighted calculations'!$B$120:$B$123,$E$89,'Weighted calculations'!Q$120:Q$123)</f>
        <v>-812001.3371168375</v>
      </c>
      <c r="Q109" s="203">
        <f>SUMIF('Weighted calculations'!$B$120:$B$123,$E$89,'Weighted calculations'!R$120:R$123)</f>
        <v>-12787821.743849635</v>
      </c>
      <c r="R109" s="203">
        <f>SUMIF('Weighted calculations'!$B$120:$B$123,$E$89,'Weighted calculations'!S$120:S$123)</f>
        <v>-9421577.9901795387</v>
      </c>
      <c r="S109" s="203">
        <f>SUMIF('Weighted calculations'!$B$120:$B$123,$E$89,'Weighted calculations'!T$120:T$123)</f>
        <v>-970628.92001080513</v>
      </c>
      <c r="T109" s="203">
        <f>SUMIF('Weighted calculations'!$B$120:$B$123,$E$89,'Weighted calculations'!U$120:U$123)</f>
        <v>6084782.3678798676</v>
      </c>
      <c r="U109" s="203">
        <f>SUMIF('Weighted calculations'!$B$120:$B$123,$E$89,'Weighted calculations'!V$120:V$123)</f>
        <v>112058208.53511143</v>
      </c>
      <c r="V109" s="203">
        <f>SUMIF('Weighted calculations'!$B$120:$B$123,$E$89,'Weighted calculations'!W$120:W$123)</f>
        <v>-191141992.5059588</v>
      </c>
      <c r="W109" s="203">
        <f>SUMIF('Weighted calculations'!$B$120:$B$123,$E$89,'Weighted calculations'!X$120:X$123)</f>
        <v>30379391.267061949</v>
      </c>
      <c r="X109" s="203">
        <f>SUMIF('Weighted calculations'!$B$120:$B$123,$E$89,'Weighted calculations'!Y$120:Y$123)</f>
        <v>-10527832.993554115</v>
      </c>
      <c r="Y109" s="203">
        <f>SUMIF('Weighted calculations'!$B$120:$B$123,$E$89,'Weighted calculations'!Z$120:Z$123)</f>
        <v>30423396.590378046</v>
      </c>
      <c r="Z109" s="203">
        <f>SUMIF('Weighted calculations'!$B$120:$B$123,$E$89,'Weighted calculations'!AA$120:AA$123)</f>
        <v>-55968733.908589125</v>
      </c>
      <c r="AA109" s="203">
        <f>SUMIF('Weighted calculations'!$B$120:$B$123,$E$89,'Weighted calculations'!AB$120:AB$123)</f>
        <v>-12965506.146062136</v>
      </c>
      <c r="AB109" s="203">
        <f>SUMIF('Weighted calculations'!$B$120:$B$123,$E$89,'Weighted calculations'!AC$120:AC$123)</f>
        <v>17614427.701512814</v>
      </c>
      <c r="AC109" s="203">
        <f>SUMIF('Weighted calculations'!$B$120:$B$123,$E$89,'Weighted calculations'!AD$120:AD$123)</f>
        <v>5316604.7600671053</v>
      </c>
      <c r="BD109" s="116"/>
      <c r="BF109" s="101"/>
    </row>
    <row r="110" spans="2:58" x14ac:dyDescent="0.25">
      <c r="U110" s="101"/>
      <c r="X110" s="101"/>
      <c r="Y110" s="101"/>
      <c r="Z110" s="101"/>
      <c r="AA110" s="101"/>
      <c r="AB110" s="101"/>
      <c r="AC110" s="101"/>
      <c r="BD110" s="116"/>
      <c r="BF110" s="101"/>
    </row>
    <row r="111" spans="2:58" ht="13" x14ac:dyDescent="0.3">
      <c r="B111" s="104" t="str">
        <f>B17</f>
        <v>Scenario 4</v>
      </c>
      <c r="C111" s="104"/>
      <c r="D111" s="107" t="str">
        <f>Calculation!G$33</f>
        <v>2019-20</v>
      </c>
      <c r="E111" s="107" t="str">
        <f>Calculation!H$33</f>
        <v>2020-21</v>
      </c>
      <c r="F111" s="107" t="str">
        <f>Calculation!I$33</f>
        <v>2021-22</v>
      </c>
      <c r="G111" s="107" t="str">
        <f>Calculation!J$33</f>
        <v>2022-23</v>
      </c>
      <c r="H111" s="107" t="str">
        <f>Calculation!K$33</f>
        <v>2023-24</v>
      </c>
      <c r="I111" s="107" t="str">
        <f>Calculation!L$33</f>
        <v>2024-25</v>
      </c>
      <c r="J111" s="107" t="str">
        <f>Calculation!M$33</f>
        <v>2025-26</v>
      </c>
      <c r="K111" s="107" t="str">
        <f>Calculation!N$33</f>
        <v>2026-27</v>
      </c>
      <c r="L111" s="107" t="str">
        <f>Calculation!O$33</f>
        <v>2027-28</v>
      </c>
      <c r="M111" s="107" t="str">
        <f>Calculation!P$33</f>
        <v>2028-29</v>
      </c>
      <c r="N111" s="107" t="str">
        <f>Calculation!Q$33</f>
        <v>2029-30</v>
      </c>
      <c r="O111" s="107" t="str">
        <f>Calculation!R$33</f>
        <v>2030-31</v>
      </c>
      <c r="P111" s="107" t="str">
        <f>Calculation!S$33</f>
        <v>2031-32</v>
      </c>
      <c r="Q111" s="107" t="str">
        <f>Calculation!T$33</f>
        <v>2032-33</v>
      </c>
      <c r="R111" s="107" t="str">
        <f>Calculation!U$33</f>
        <v>2033-34</v>
      </c>
      <c r="S111" s="107" t="str">
        <f>Calculation!V$33</f>
        <v>2034-35</v>
      </c>
      <c r="T111" s="107" t="str">
        <f>Calculation!W$33</f>
        <v>2035-36</v>
      </c>
      <c r="U111" s="107" t="str">
        <f>Calculation!X$33</f>
        <v>2036-37</v>
      </c>
      <c r="V111" s="107" t="str">
        <f>Calculation!Y$33</f>
        <v>2037-38</v>
      </c>
      <c r="W111" s="107" t="str">
        <f>Calculation!Z$33</f>
        <v>2038-39</v>
      </c>
      <c r="X111" s="107" t="str">
        <f>Calculation!AA$33</f>
        <v>2039-40</v>
      </c>
      <c r="Y111" s="107" t="str">
        <f>Calculation!AB$33</f>
        <v>2040-41</v>
      </c>
      <c r="Z111" s="107" t="str">
        <f>Calculation!AC$33</f>
        <v>2041-42</v>
      </c>
      <c r="AA111" s="107" t="str">
        <f>Calculation!AD$33</f>
        <v>2042-43</v>
      </c>
      <c r="AB111" s="107" t="str">
        <f>Calculation!AE$33</f>
        <v>2043-44</v>
      </c>
      <c r="AC111" s="107" t="str">
        <f>Calculation!AF$33</f>
        <v>2044-45</v>
      </c>
      <c r="BD111" s="116"/>
      <c r="BF111" s="101"/>
    </row>
    <row r="112" spans="2:58" x14ac:dyDescent="0.25">
      <c r="B112" s="105" t="str">
        <f>$B$35</f>
        <v>Avoided unserved energy</v>
      </c>
      <c r="C112" s="105"/>
      <c r="D112" s="203">
        <f>SUMIF('Weighted calculations'!$B$127:$B$130,$E$89,'Weighted calculations'!E$127:E$130)</f>
        <v>0</v>
      </c>
      <c r="E112" s="203">
        <f>SUMIF('Weighted calculations'!$B$127:$B$130,$E$89,'Weighted calculations'!F$127:F$130)</f>
        <v>-0.23603120818734169</v>
      </c>
      <c r="F112" s="203">
        <f>SUMIF('Weighted calculations'!$B$127:$B$130,$E$89,'Weighted calculations'!G$127:G$130)</f>
        <v>-2996610.2961503696</v>
      </c>
      <c r="G112" s="203">
        <f>SUMIF('Weighted calculations'!$B$127:$B$130,$E$89,'Weighted calculations'!H$127:H$130)</f>
        <v>1067140.4910262749</v>
      </c>
      <c r="H112" s="203">
        <f>SUMIF('Weighted calculations'!$B$127:$B$130,$E$89,'Weighted calculations'!I$127:I$130)</f>
        <v>-5911676.4335730225</v>
      </c>
      <c r="I112" s="203">
        <f>SUMIF('Weighted calculations'!$B$127:$B$130,$E$89,'Weighted calculations'!J$127:J$130)</f>
        <v>-14899835.084648304</v>
      </c>
      <c r="J112" s="203">
        <f>SUMIF('Weighted calculations'!$B$127:$B$130,$E$89,'Weighted calculations'!K$127:K$130)</f>
        <v>2.7189452488282813</v>
      </c>
      <c r="K112" s="203">
        <f>SUMIF('Weighted calculations'!$B$127:$B$130,$E$89,'Weighted calculations'!L$127:L$130)</f>
        <v>2.8791999817611642</v>
      </c>
      <c r="L112" s="203">
        <f>SUMIF('Weighted calculations'!$B$127:$B$130,$E$89,'Weighted calculations'!M$127:M$130)</f>
        <v>9818.4205390233546</v>
      </c>
      <c r="M112" s="203">
        <f>SUMIF('Weighted calculations'!$B$127:$B$130,$E$89,'Weighted calculations'!N$127:N$130)</f>
        <v>3.2305879427964586</v>
      </c>
      <c r="N112" s="203">
        <f>SUMIF('Weighted calculations'!$B$127:$B$130,$E$89,'Weighted calculations'!O$127:O$130)</f>
        <v>-148000.38263179691</v>
      </c>
      <c r="O112" s="203">
        <f>SUMIF('Weighted calculations'!$B$127:$B$130,$E$89,'Weighted calculations'!P$127:P$130)</f>
        <v>2853541.017512545</v>
      </c>
      <c r="P112" s="203">
        <f>SUMIF('Weighted calculations'!$B$127:$B$130,$E$89,'Weighted calculations'!Q$127:Q$130)</f>
        <v>-246740.55501465534</v>
      </c>
      <c r="Q112" s="203">
        <f>SUMIF('Weighted calculations'!$B$127:$B$130,$E$89,'Weighted calculations'!R$127:R$130)</f>
        <v>-2335967.3902014345</v>
      </c>
      <c r="R112" s="203">
        <f>SUMIF('Weighted calculations'!$B$127:$B$130,$E$89,'Weighted calculations'!S$127:S$130)</f>
        <v>-1446256.452491492</v>
      </c>
      <c r="S112" s="203">
        <f>SUMIF('Weighted calculations'!$B$127:$B$130,$E$89,'Weighted calculations'!T$127:T$130)</f>
        <v>38781.025425698703</v>
      </c>
      <c r="T112" s="203">
        <f>SUMIF('Weighted calculations'!$B$127:$B$130,$E$89,'Weighted calculations'!U$127:U$130)</f>
        <v>-9025439.957043156</v>
      </c>
      <c r="U112" s="203">
        <f>SUMIF('Weighted calculations'!$B$127:$B$130,$E$89,'Weighted calculations'!V$127:V$130)</f>
        <v>5.1074922870776538</v>
      </c>
      <c r="V112" s="203">
        <f>SUMIF('Weighted calculations'!$B$127:$B$130,$E$89,'Weighted calculations'!W$127:W$130)</f>
        <v>5.4087668544775216</v>
      </c>
      <c r="W112" s="203">
        <f>SUMIF('Weighted calculations'!$B$127:$B$130,$E$89,'Weighted calculations'!X$127:X$130)</f>
        <v>-794874.20977494121</v>
      </c>
      <c r="X112" s="203">
        <f>SUMIF('Weighted calculations'!$B$127:$B$130,$E$89,'Weighted calculations'!Y$127:Y$130)</f>
        <v>-6355755.6402860451</v>
      </c>
      <c r="Y112" s="203">
        <f>SUMIF('Weighted calculations'!$B$127:$B$130,$E$89,'Weighted calculations'!Z$127:Z$130)</f>
        <v>-4520055.0022694534</v>
      </c>
      <c r="Z112" s="203">
        <f>SUMIF('Weighted calculations'!$B$127:$B$130,$E$89,'Weighted calculations'!AA$127:AA$130)</f>
        <v>-27996165.43159689</v>
      </c>
      <c r="AA112" s="203">
        <f>SUMIF('Weighted calculations'!$B$127:$B$130,$E$89,'Weighted calculations'!AB$127:AB$130)</f>
        <v>-1063259.6973982118</v>
      </c>
      <c r="AB112" s="203">
        <f>SUMIF('Weighted calculations'!$B$127:$B$130,$E$89,'Weighted calculations'!AC$127:AC$130)</f>
        <v>2571278.4191070572</v>
      </c>
      <c r="AC112" s="203">
        <f>SUMIF('Weighted calculations'!$B$127:$B$130,$E$89,'Weighted calculations'!AD$127:AD$130)</f>
        <v>8.0860852473797458</v>
      </c>
      <c r="BD112" s="116"/>
      <c r="BF112" s="101"/>
    </row>
    <row r="113" spans="2:58" x14ac:dyDescent="0.25">
      <c r="B113" s="105" t="str">
        <f>$B$36</f>
        <v>Avoided REZ transmission capex</v>
      </c>
      <c r="C113" s="105"/>
      <c r="D113" s="203">
        <f>SUMIF('Weighted calculations'!$B$133:$B$136,$E$89,'Weighted calculations'!E$133:E$136)</f>
        <v>0</v>
      </c>
      <c r="E113" s="203">
        <f>SUMIF('Weighted calculations'!$B$133:$B$136,$E$89,'Weighted calculations'!F$133:F$136)</f>
        <v>25.265572588269016</v>
      </c>
      <c r="F113" s="203">
        <f>SUMIF('Weighted calculations'!$B$133:$B$136,$E$89,'Weighted calculations'!G$133:G$136)</f>
        <v>0.96056420577341584</v>
      </c>
      <c r="G113" s="203">
        <f>SUMIF('Weighted calculations'!$B$133:$B$136,$E$89,'Weighted calculations'!H$133:H$136)</f>
        <v>-14053697.885391563</v>
      </c>
      <c r="H113" s="203">
        <f>SUMIF('Weighted calculations'!$B$133:$B$136,$E$89,'Weighted calculations'!I$133:I$136)</f>
        <v>23323090.379980382</v>
      </c>
      <c r="I113" s="203">
        <f>SUMIF('Weighted calculations'!$B$133:$B$136,$E$89,'Weighted calculations'!J$133:J$136)</f>
        <v>10059644.623177469</v>
      </c>
      <c r="J113" s="203">
        <f>SUMIF('Weighted calculations'!$B$133:$B$136,$E$89,'Weighted calculations'!K$133:K$136)</f>
        <v>30887605.16653046</v>
      </c>
      <c r="K113" s="203">
        <f>SUMIF('Weighted calculations'!$B$133:$B$136,$E$89,'Weighted calculations'!L$133:L$136)</f>
        <v>-979815.96352666616</v>
      </c>
      <c r="L113" s="203">
        <f>SUMIF('Weighted calculations'!$B$133:$B$136,$E$89,'Weighted calculations'!M$133:M$136)</f>
        <v>-10697934.954119563</v>
      </c>
      <c r="M113" s="203">
        <f>SUMIF('Weighted calculations'!$B$133:$B$136,$E$89,'Weighted calculations'!N$133:N$136)</f>
        <v>14337512.664474249</v>
      </c>
      <c r="N113" s="203">
        <f>SUMIF('Weighted calculations'!$B$133:$B$136,$E$89,'Weighted calculations'!O$133:O$136)</f>
        <v>-10209369.218524635</v>
      </c>
      <c r="O113" s="203">
        <f>SUMIF('Weighted calculations'!$B$133:$B$136,$E$89,'Weighted calculations'!P$133:P$136)</f>
        <v>3442018.0553201437</v>
      </c>
      <c r="P113" s="203">
        <f>SUMIF('Weighted calculations'!$B$133:$B$136,$E$89,'Weighted calculations'!Q$133:Q$136)</f>
        <v>8708055.6901774406</v>
      </c>
      <c r="Q113" s="203">
        <f>SUMIF('Weighted calculations'!$B$133:$B$136,$E$89,'Weighted calculations'!R$133:R$136)</f>
        <v>11798169.784752131</v>
      </c>
      <c r="R113" s="203">
        <f>SUMIF('Weighted calculations'!$B$133:$B$136,$E$89,'Weighted calculations'!S$133:S$136)</f>
        <v>-8922531.6258702017</v>
      </c>
      <c r="S113" s="203">
        <f>SUMIF('Weighted calculations'!$B$133:$B$136,$E$89,'Weighted calculations'!T$133:T$136)</f>
        <v>32.889193541294752</v>
      </c>
      <c r="T113" s="203">
        <f>SUMIF('Weighted calculations'!$B$133:$B$136,$E$89,'Weighted calculations'!U$133:U$136)</f>
        <v>-11815619.385590315</v>
      </c>
      <c r="U113" s="203">
        <f>SUMIF('Weighted calculations'!$B$133:$B$136,$E$89,'Weighted calculations'!V$133:V$136)</f>
        <v>-11964920.117201805</v>
      </c>
      <c r="V113" s="203">
        <f>SUMIF('Weighted calculations'!$B$133:$B$136,$E$89,'Weighted calculations'!W$133:W$136)</f>
        <v>-4546399.0410971642</v>
      </c>
      <c r="W113" s="203">
        <f>SUMIF('Weighted calculations'!$B$133:$B$136,$E$89,'Weighted calculations'!X$133:X$136)</f>
        <v>-7655469.3854084462</v>
      </c>
      <c r="X113" s="203">
        <f>SUMIF('Weighted calculations'!$B$133:$B$136,$E$89,'Weighted calculations'!Y$133:Y$136)</f>
        <v>16168668.895594001</v>
      </c>
      <c r="Y113" s="203">
        <f>SUMIF('Weighted calculations'!$B$133:$B$136,$E$89,'Weighted calculations'!Z$133:Z$136)</f>
        <v>11663424.390214324</v>
      </c>
      <c r="Z113" s="203">
        <f>SUMIF('Weighted calculations'!$B$133:$B$136,$E$89,'Weighted calculations'!AA$133:AA$136)</f>
        <v>-13561377.515490741</v>
      </c>
      <c r="AA113" s="203">
        <f>SUMIF('Weighted calculations'!$B$133:$B$136,$E$89,'Weighted calculations'!AB$133:AB$136)</f>
        <v>0</v>
      </c>
      <c r="AB113" s="203">
        <f>SUMIF('Weighted calculations'!$B$133:$B$136,$E$89,'Weighted calculations'!AC$133:AC$136)</f>
        <v>31019667.77852118</v>
      </c>
      <c r="AC113" s="203">
        <f>SUMIF('Weighted calculations'!$B$133:$B$136,$E$89,'Weighted calculations'!AD$133:AD$136)</f>
        <v>-5333088.5127857327</v>
      </c>
      <c r="BD113" s="116"/>
      <c r="BF113" s="101"/>
    </row>
    <row r="114" spans="2:58" x14ac:dyDescent="0.25">
      <c r="B114" s="105" t="str">
        <f>$B$37</f>
        <v>Avoided fuel costs</v>
      </c>
      <c r="C114" s="105"/>
      <c r="D114" s="203">
        <f>SUMIF('Weighted calculations'!$B$139:$B$142,$E$89,'Weighted calculations'!E$139:E$142)</f>
        <v>0</v>
      </c>
      <c r="E114" s="203">
        <f>SUMIF('Weighted calculations'!$B$139:$B$142,$E$89,'Weighted calculations'!F$139:F$142)</f>
        <v>9.9391613006591797</v>
      </c>
      <c r="F114" s="203">
        <f>SUMIF('Weighted calculations'!$B$139:$B$142,$E$89,'Weighted calculations'!G$139:G$142)</f>
        <v>-78620.157710075378</v>
      </c>
      <c r="G114" s="203">
        <f>SUMIF('Weighted calculations'!$B$139:$B$142,$E$89,'Weighted calculations'!H$139:H$142)</f>
        <v>8181177.0836019516</v>
      </c>
      <c r="H114" s="203">
        <f>SUMIF('Weighted calculations'!$B$139:$B$142,$E$89,'Weighted calculations'!I$139:I$142)</f>
        <v>-2576863.7278752327</v>
      </c>
      <c r="I114" s="203">
        <f>SUMIF('Weighted calculations'!$B$139:$B$142,$E$89,'Weighted calculations'!J$139:J$142)</f>
        <v>-4874870.766980648</v>
      </c>
      <c r="J114" s="203">
        <f>SUMIF('Weighted calculations'!$B$139:$B$142,$E$89,'Weighted calculations'!K$139:K$142)</f>
        <v>120112.71978902817</v>
      </c>
      <c r="K114" s="203">
        <f>SUMIF('Weighted calculations'!$B$139:$B$142,$E$89,'Weighted calculations'!L$139:L$142)</f>
        <v>1963968.9694223404</v>
      </c>
      <c r="L114" s="203">
        <f>SUMIF('Weighted calculations'!$B$139:$B$142,$E$89,'Weighted calculations'!M$139:M$142)</f>
        <v>-2438501.9537038803</v>
      </c>
      <c r="M114" s="203">
        <f>SUMIF('Weighted calculations'!$B$139:$B$142,$E$89,'Weighted calculations'!N$139:N$142)</f>
        <v>2959102.5227527618</v>
      </c>
      <c r="N114" s="203">
        <f>SUMIF('Weighted calculations'!$B$139:$B$142,$E$89,'Weighted calculations'!O$139:O$142)</f>
        <v>2536954.0451111794</v>
      </c>
      <c r="O114" s="203">
        <f>SUMIF('Weighted calculations'!$B$139:$B$142,$E$89,'Weighted calculations'!P$139:P$142)</f>
        <v>7317844.7599484921</v>
      </c>
      <c r="P114" s="203">
        <f>SUMIF('Weighted calculations'!$B$139:$B$142,$E$89,'Weighted calculations'!Q$139:Q$142)</f>
        <v>8843872.0611104965</v>
      </c>
      <c r="Q114" s="203">
        <f>SUMIF('Weighted calculations'!$B$139:$B$142,$E$89,'Weighted calculations'!R$139:R$142)</f>
        <v>5415772.9446520805</v>
      </c>
      <c r="R114" s="203">
        <f>SUMIF('Weighted calculations'!$B$139:$B$142,$E$89,'Weighted calculations'!S$139:S$142)</f>
        <v>11813230.745151043</v>
      </c>
      <c r="S114" s="203">
        <f>SUMIF('Weighted calculations'!$B$139:$B$142,$E$89,'Weighted calculations'!T$139:T$142)</f>
        <v>-2031296.6520688534</v>
      </c>
      <c r="T114" s="203">
        <f>SUMIF('Weighted calculations'!$B$139:$B$142,$E$89,'Weighted calculations'!U$139:U$142)</f>
        <v>1675535.4599475861</v>
      </c>
      <c r="U114" s="203">
        <f>SUMIF('Weighted calculations'!$B$139:$B$142,$E$89,'Weighted calculations'!V$139:V$142)</f>
        <v>11235946.834727764</v>
      </c>
      <c r="V114" s="203">
        <f>SUMIF('Weighted calculations'!$B$139:$B$142,$E$89,'Weighted calculations'!W$139:W$142)</f>
        <v>14805666.57749176</v>
      </c>
      <c r="W114" s="203">
        <f>SUMIF('Weighted calculations'!$B$139:$B$142,$E$89,'Weighted calculations'!X$139:X$142)</f>
        <v>18759677.511432648</v>
      </c>
      <c r="X114" s="203">
        <f>SUMIF('Weighted calculations'!$B$139:$B$142,$E$89,'Weighted calculations'!Y$139:Y$142)</f>
        <v>38074057.958554745</v>
      </c>
      <c r="Y114" s="203">
        <f>SUMIF('Weighted calculations'!$B$139:$B$142,$E$89,'Weighted calculations'!Z$139:Z$142)</f>
        <v>40883871.166213274</v>
      </c>
      <c r="Z114" s="203">
        <f>SUMIF('Weighted calculations'!$B$139:$B$142,$E$89,'Weighted calculations'!AA$139:AA$142)</f>
        <v>40930305.62166214</v>
      </c>
      <c r="AA114" s="203">
        <f>SUMIF('Weighted calculations'!$B$139:$B$142,$E$89,'Weighted calculations'!AB$139:AB$142)</f>
        <v>22223667.870717764</v>
      </c>
      <c r="AB114" s="203">
        <f>SUMIF('Weighted calculations'!$B$139:$B$142,$E$89,'Weighted calculations'!AC$139:AC$142)</f>
        <v>56600118.638538837</v>
      </c>
      <c r="AC114" s="203">
        <f>SUMIF('Weighted calculations'!$B$139:$B$142,$E$89,'Weighted calculations'!AD$139:AD$142)</f>
        <v>67236742.382143021</v>
      </c>
      <c r="BD114" s="116"/>
      <c r="BF114" s="101"/>
    </row>
    <row r="115" spans="2:58" x14ac:dyDescent="0.25">
      <c r="B115" s="105" t="str">
        <f>$B$38</f>
        <v>Avoided voluntary load curtailment</v>
      </c>
      <c r="C115" s="105"/>
      <c r="D115" s="203">
        <f>SUMIF('Weighted calculations'!$B$145:$B$148,$E$89,'Weighted calculations'!E$145:E$148)</f>
        <v>0</v>
      </c>
      <c r="E115" s="203">
        <f>SUMIF('Weighted calculations'!$B$145:$B$148,$E$89,'Weighted calculations'!F$145:F$148)</f>
        <v>2.2579419651883654</v>
      </c>
      <c r="F115" s="203">
        <f>SUMIF('Weighted calculations'!$B$145:$B$148,$E$89,'Weighted calculations'!G$145:G$148)</f>
        <v>2.3268199301091954</v>
      </c>
      <c r="G115" s="203">
        <f>SUMIF('Weighted calculations'!$B$145:$B$148,$E$89,'Weighted calculations'!H$145:H$148)</f>
        <v>3488.6073029374238</v>
      </c>
      <c r="H115" s="203">
        <f>SUMIF('Weighted calculations'!$B$145:$B$148,$E$89,'Weighted calculations'!I$145:I$148)</f>
        <v>-32186.892839014297</v>
      </c>
      <c r="I115" s="203">
        <f>SUMIF('Weighted calculations'!$B$145:$B$148,$E$89,'Weighted calculations'!J$145:J$148)</f>
        <v>-129607.05599550321</v>
      </c>
      <c r="J115" s="203">
        <f>SUMIF('Weighted calculations'!$B$145:$B$148,$E$89,'Weighted calculations'!K$145:K$148)</f>
        <v>3.0749050933983755</v>
      </c>
      <c r="K115" s="203">
        <f>SUMIF('Weighted calculations'!$B$145:$B$148,$E$89,'Weighted calculations'!L$145:L$148)</f>
        <v>-149937.64993950792</v>
      </c>
      <c r="L115" s="203">
        <f>SUMIF('Weighted calculations'!$B$145:$B$148,$E$89,'Weighted calculations'!M$145:M$148)</f>
        <v>-4249.4989679730497</v>
      </c>
      <c r="M115" s="203">
        <f>SUMIF('Weighted calculations'!$B$145:$B$148,$E$89,'Weighted calculations'!N$145:N$148)</f>
        <v>4841.6244084697682</v>
      </c>
      <c r="N115" s="203">
        <f>SUMIF('Weighted calculations'!$B$145:$B$148,$E$89,'Weighted calculations'!O$145:O$148)</f>
        <v>2883.1885551584128</v>
      </c>
      <c r="O115" s="203">
        <f>SUMIF('Weighted calculations'!$B$145:$B$148,$E$89,'Weighted calculations'!P$145:P$148)</f>
        <v>473660.61475147237</v>
      </c>
      <c r="P115" s="203">
        <f>SUMIF('Weighted calculations'!$B$145:$B$148,$E$89,'Weighted calculations'!Q$145:Q$148)</f>
        <v>789235.19741725363</v>
      </c>
      <c r="Q115" s="203">
        <f>SUMIF('Weighted calculations'!$B$145:$B$148,$E$89,'Weighted calculations'!R$145:R$148)</f>
        <v>253421.83134265756</v>
      </c>
      <c r="R115" s="203">
        <f>SUMIF('Weighted calculations'!$B$145:$B$148,$E$89,'Weighted calculations'!S$145:S$148)</f>
        <v>372542.26131453714</v>
      </c>
      <c r="S115" s="203">
        <f>SUMIF('Weighted calculations'!$B$145:$B$148,$E$89,'Weighted calculations'!T$145:T$148)</f>
        <v>216413.95733107626</v>
      </c>
      <c r="T115" s="203">
        <f>SUMIF('Weighted calculations'!$B$145:$B$148,$E$89,'Weighted calculations'!U$145:U$148)</f>
        <v>258904.42922487482</v>
      </c>
      <c r="U115" s="203">
        <f>SUMIF('Weighted calculations'!$B$145:$B$148,$E$89,'Weighted calculations'!V$145:V$148)</f>
        <v>182545.99814491507</v>
      </c>
      <c r="V115" s="203">
        <f>SUMIF('Weighted calculations'!$B$145:$B$148,$E$89,'Weighted calculations'!W$145:W$148)</f>
        <v>-109844.50634370447</v>
      </c>
      <c r="W115" s="203">
        <f>SUMIF('Weighted calculations'!$B$145:$B$148,$E$89,'Weighted calculations'!X$145:X$148)</f>
        <v>75911.861410732847</v>
      </c>
      <c r="X115" s="203">
        <f>SUMIF('Weighted calculations'!$B$145:$B$148,$E$89,'Weighted calculations'!Y$145:Y$148)</f>
        <v>-1959910.4336749874</v>
      </c>
      <c r="Y115" s="203">
        <f>SUMIF('Weighted calculations'!$B$145:$B$148,$E$89,'Weighted calculations'!Z$145:Z$148)</f>
        <v>-297180.8142457474</v>
      </c>
      <c r="Z115" s="203">
        <f>SUMIF('Weighted calculations'!$B$145:$B$148,$E$89,'Weighted calculations'!AA$145:AA$148)</f>
        <v>-753795.37825748511</v>
      </c>
      <c r="AA115" s="203">
        <f>SUMIF('Weighted calculations'!$B$145:$B$148,$E$89,'Weighted calculations'!AB$145:AB$148)</f>
        <v>-836061.04588004481</v>
      </c>
      <c r="AB115" s="203">
        <f>SUMIF('Weighted calculations'!$B$145:$B$148,$E$89,'Weighted calculations'!AC$145:AC$148)</f>
        <v>-2887085.5942369625</v>
      </c>
      <c r="AC115" s="203">
        <f>SUMIF('Weighted calculations'!$B$145:$B$148,$E$89,'Weighted calculations'!AD$145:AD$148)</f>
        <v>-424825.51310924394</v>
      </c>
      <c r="BD115" s="116"/>
      <c r="BF115" s="101"/>
    </row>
    <row r="116" spans="2:58" x14ac:dyDescent="0.25">
      <c r="B116" s="105" t="str">
        <f>$B$39</f>
        <v>Avoided generation/storage costs (excl. fuel costs)</v>
      </c>
      <c r="C116" s="105"/>
      <c r="D116" s="203">
        <f>SUMIF('Weighted calculations'!$B$151:$B$154,$E$89,'Weighted calculations'!E$151:E$154)</f>
        <v>0</v>
      </c>
      <c r="E116" s="203">
        <f>SUMIF('Weighted calculations'!$B$151:$B$154,$E$89,'Weighted calculations'!F$151:F$154)</f>
        <v>859.34492623806</v>
      </c>
      <c r="F116" s="203">
        <f>SUMIF('Weighted calculations'!$B$151:$B$154,$E$89,'Weighted calculations'!G$151:G$154)</f>
        <v>33894721.618946552</v>
      </c>
      <c r="G116" s="203">
        <f>SUMIF('Weighted calculations'!$B$151:$B$154,$E$89,'Weighted calculations'!H$151:H$154)</f>
        <v>159891035.31395555</v>
      </c>
      <c r="H116" s="203">
        <f>SUMIF('Weighted calculations'!$B$151:$B$154,$E$89,'Weighted calculations'!I$151:I$154)</f>
        <v>181495995.71212816</v>
      </c>
      <c r="I116" s="203">
        <f>SUMIF('Weighted calculations'!$B$151:$B$154,$E$89,'Weighted calculations'!J$151:J$154)</f>
        <v>-51376380.402218819</v>
      </c>
      <c r="J116" s="203">
        <f>SUMIF('Weighted calculations'!$B$151:$B$154,$E$89,'Weighted calculations'!K$151:K$154)</f>
        <v>-63790348.964039803</v>
      </c>
      <c r="K116" s="203">
        <f>SUMIF('Weighted calculations'!$B$151:$B$154,$E$89,'Weighted calculations'!L$151:L$154)</f>
        <v>-34277941.667721748</v>
      </c>
      <c r="L116" s="203">
        <f>SUMIF('Weighted calculations'!$B$151:$B$154,$E$89,'Weighted calculations'!M$151:M$154)</f>
        <v>55276970.890787125</v>
      </c>
      <c r="M116" s="203">
        <f>SUMIF('Weighted calculations'!$B$151:$B$154,$E$89,'Weighted calculations'!N$151:N$154)</f>
        <v>-66949334.69189167</v>
      </c>
      <c r="N116" s="203">
        <f>SUMIF('Weighted calculations'!$B$151:$B$154,$E$89,'Weighted calculations'!O$151:O$154)</f>
        <v>-33553538.600152969</v>
      </c>
      <c r="O116" s="203">
        <f>SUMIF('Weighted calculations'!$B$151:$B$154,$E$89,'Weighted calculations'!P$151:P$154)</f>
        <v>-89949282.868671417</v>
      </c>
      <c r="P116" s="203">
        <f>SUMIF('Weighted calculations'!$B$151:$B$154,$E$89,'Weighted calculations'!Q$151:Q$154)</f>
        <v>174367237.10466385</v>
      </c>
      <c r="Q116" s="203">
        <f>SUMIF('Weighted calculations'!$B$151:$B$154,$E$89,'Weighted calculations'!R$151:R$154)</f>
        <v>31755783.843455315</v>
      </c>
      <c r="R116" s="203">
        <f>SUMIF('Weighted calculations'!$B$151:$B$154,$E$89,'Weighted calculations'!S$151:S$154)</f>
        <v>-42329174.674963951</v>
      </c>
      <c r="S116" s="203">
        <f>SUMIF('Weighted calculations'!$B$151:$B$154,$E$89,'Weighted calculations'!T$151:T$154)</f>
        <v>86897152.954999924</v>
      </c>
      <c r="T116" s="203">
        <f>SUMIF('Weighted calculations'!$B$151:$B$154,$E$89,'Weighted calculations'!U$151:U$154)</f>
        <v>164577440.53103638</v>
      </c>
      <c r="U116" s="203">
        <f>SUMIF('Weighted calculations'!$B$151:$B$154,$E$89,'Weighted calculations'!V$151:V$154)</f>
        <v>-101827053.33121586</v>
      </c>
      <c r="V116" s="203">
        <f>SUMIF('Weighted calculations'!$B$151:$B$154,$E$89,'Weighted calculations'!W$151:W$154)</f>
        <v>-16043852.116925716</v>
      </c>
      <c r="W116" s="203">
        <f>SUMIF('Weighted calculations'!$B$151:$B$154,$E$89,'Weighted calculations'!X$151:X$154)</f>
        <v>-38518464.144592524</v>
      </c>
      <c r="X116" s="203">
        <f>SUMIF('Weighted calculations'!$B$151:$B$154,$E$89,'Weighted calculations'!Y$151:Y$154)</f>
        <v>162925685.26524162</v>
      </c>
      <c r="Y116" s="203">
        <f>SUMIF('Weighted calculations'!$B$151:$B$154,$E$89,'Weighted calculations'!Z$151:Z$154)</f>
        <v>18452407.544795036</v>
      </c>
      <c r="Z116" s="203">
        <f>SUMIF('Weighted calculations'!$B$151:$B$154,$E$89,'Weighted calculations'!AA$151:AA$154)</f>
        <v>139515741.88985109</v>
      </c>
      <c r="AA116" s="203">
        <f>SUMIF('Weighted calculations'!$B$151:$B$154,$E$89,'Weighted calculations'!AB$151:AB$154)</f>
        <v>-13655760.698481321</v>
      </c>
      <c r="AB116" s="203">
        <f>SUMIF('Weighted calculations'!$B$151:$B$154,$E$89,'Weighted calculations'!AC$151:AC$154)</f>
        <v>-28937530.658470154</v>
      </c>
      <c r="AC116" s="203">
        <f>SUMIF('Weighted calculations'!$B$151:$B$154,$E$89,'Weighted calculations'!AD$151:AD$154)</f>
        <v>20293056.764142752</v>
      </c>
      <c r="BD116" s="116"/>
      <c r="BF116" s="101"/>
    </row>
    <row r="117" spans="2:58" x14ac:dyDescent="0.25">
      <c r="U117" s="101"/>
      <c r="X117" s="101"/>
      <c r="Y117" s="101"/>
      <c r="Z117" s="101"/>
      <c r="AA117" s="101"/>
      <c r="AB117" s="101"/>
      <c r="AC117" s="101"/>
      <c r="BD117" s="116"/>
      <c r="BF117" s="101"/>
    </row>
    <row r="118" spans="2:58" x14ac:dyDescent="0.25">
      <c r="U118" s="101"/>
      <c r="X118" s="101"/>
      <c r="Y118" s="101"/>
      <c r="Z118" s="101"/>
      <c r="AA118" s="101"/>
      <c r="AB118" s="101"/>
      <c r="AC118" s="101"/>
      <c r="BD118" s="116"/>
      <c r="BF118" s="101"/>
    </row>
    <row r="119" spans="2:58" ht="13" x14ac:dyDescent="0.3">
      <c r="B119" s="103" t="s">
        <v>106</v>
      </c>
      <c r="C119" s="103"/>
      <c r="D119" s="103"/>
      <c r="E119" s="164" t="str">
        <f>$E$89</f>
        <v>Option 1A</v>
      </c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BD119" s="116"/>
      <c r="BF119" s="101"/>
    </row>
    <row r="120" spans="2:58" ht="13" x14ac:dyDescent="0.3">
      <c r="B120" s="104" t="s">
        <v>102</v>
      </c>
      <c r="C120" s="104"/>
      <c r="D120" s="118">
        <f>Calculation!G35</f>
        <v>1</v>
      </c>
      <c r="E120" s="118">
        <f>Calculation!H35</f>
        <v>0.94428706326723333</v>
      </c>
      <c r="F120" s="118">
        <f>Calculation!I35</f>
        <v>0.89167805785385579</v>
      </c>
      <c r="G120" s="118">
        <f>Calculation!J35</f>
        <v>0.84200005463064764</v>
      </c>
      <c r="H120" s="118">
        <f>Calculation!K35</f>
        <v>0.79508975885802413</v>
      </c>
      <c r="I120" s="118">
        <f>Calculation!L35</f>
        <v>0.75079297342589635</v>
      </c>
      <c r="J120" s="118">
        <f>Calculation!M35</f>
        <v>0.70896409199801358</v>
      </c>
      <c r="K120" s="118">
        <f>Calculation!N35</f>
        <v>0.66946562039472479</v>
      </c>
      <c r="L120" s="118">
        <f>Calculation!O35</f>
        <v>0.63216772464091109</v>
      </c>
      <c r="M120" s="118">
        <f>Calculation!P35</f>
        <v>0.59694780419349491</v>
      </c>
      <c r="N120" s="118">
        <f>Calculation!Q35</f>
        <v>0.56369008894569872</v>
      </c>
      <c r="O120" s="118">
        <f>Calculation!R35</f>
        <v>0.53228525868337928</v>
      </c>
      <c r="P120" s="118">
        <f>Calculation!S35</f>
        <v>0.50263008374256779</v>
      </c>
      <c r="Q120" s="118">
        <f>Calculation!T35</f>
        <v>0.47462708568703288</v>
      </c>
      <c r="R120" s="118">
        <f>Calculation!U35</f>
        <v>0.44818421689049381</v>
      </c>
      <c r="S120" s="118">
        <f>Calculation!V35</f>
        <v>0.42321455797024909</v>
      </c>
      <c r="T120" s="118">
        <f>Calculation!W35</f>
        <v>0.39963603207766679</v>
      </c>
      <c r="U120" s="118">
        <f>Calculation!X35</f>
        <v>0.37737113510638981</v>
      </c>
      <c r="V120" s="118">
        <f>Calculation!Y35</f>
        <v>0.35634668093143512</v>
      </c>
      <c r="W120" s="118">
        <f>Calculation!Z35</f>
        <v>0.33649356084177068</v>
      </c>
      <c r="X120" s="118">
        <f>Calculation!AA35</f>
        <v>0.31774651637560969</v>
      </c>
      <c r="Y120" s="118">
        <f>Calculation!AB35</f>
        <v>0.30004392481171832</v>
      </c>
      <c r="Z120" s="118">
        <f>Calculation!AC35</f>
        <v>0.28332759661163209</v>
      </c>
      <c r="AA120" s="118">
        <f>Calculation!AD35</f>
        <v>0.2675425841469613</v>
      </c>
      <c r="AB120" s="118">
        <f>Calculation!AE35</f>
        <v>0.25263700108306075</v>
      </c>
      <c r="AC120" s="118">
        <f>Calculation!AF35</f>
        <v>0.2385618518253643</v>
      </c>
      <c r="BD120" s="116"/>
      <c r="BF120" s="101"/>
    </row>
    <row r="121" spans="2:58" x14ac:dyDescent="0.25">
      <c r="U121" s="101"/>
      <c r="X121" s="101"/>
      <c r="Y121" s="101"/>
      <c r="Z121" s="101"/>
      <c r="AA121" s="101"/>
      <c r="AB121" s="101"/>
      <c r="AC121" s="101"/>
      <c r="BD121" s="116"/>
      <c r="BF121" s="101"/>
    </row>
    <row r="122" spans="2:58" ht="13" x14ac:dyDescent="0.3">
      <c r="B122" s="104" t="str">
        <f>B90</f>
        <v>Scenario 1</v>
      </c>
      <c r="C122" s="104"/>
      <c r="D122" s="107" t="str">
        <f>Calculation!G$33</f>
        <v>2019-20</v>
      </c>
      <c r="E122" s="107" t="str">
        <f>Calculation!H$33</f>
        <v>2020-21</v>
      </c>
      <c r="F122" s="107" t="str">
        <f>Calculation!I$33</f>
        <v>2021-22</v>
      </c>
      <c r="G122" s="107" t="str">
        <f>Calculation!J$33</f>
        <v>2022-23</v>
      </c>
      <c r="H122" s="107" t="str">
        <f>Calculation!K$33</f>
        <v>2023-24</v>
      </c>
      <c r="I122" s="107" t="str">
        <f>Calculation!L$33</f>
        <v>2024-25</v>
      </c>
      <c r="J122" s="107" t="str">
        <f>Calculation!M$33</f>
        <v>2025-26</v>
      </c>
      <c r="K122" s="107" t="str">
        <f>Calculation!N$33</f>
        <v>2026-27</v>
      </c>
      <c r="L122" s="107" t="str">
        <f>Calculation!O$33</f>
        <v>2027-28</v>
      </c>
      <c r="M122" s="107" t="str">
        <f>Calculation!P$33</f>
        <v>2028-29</v>
      </c>
      <c r="N122" s="107" t="str">
        <f>Calculation!Q$33</f>
        <v>2029-30</v>
      </c>
      <c r="O122" s="107" t="str">
        <f>Calculation!R$33</f>
        <v>2030-31</v>
      </c>
      <c r="P122" s="107" t="str">
        <f>Calculation!S$33</f>
        <v>2031-32</v>
      </c>
      <c r="Q122" s="107" t="str">
        <f>Calculation!T$33</f>
        <v>2032-33</v>
      </c>
      <c r="R122" s="107" t="str">
        <f>Calculation!U$33</f>
        <v>2033-34</v>
      </c>
      <c r="S122" s="107" t="str">
        <f>Calculation!V$33</f>
        <v>2034-35</v>
      </c>
      <c r="T122" s="107" t="str">
        <f>Calculation!W$33</f>
        <v>2035-36</v>
      </c>
      <c r="U122" s="107" t="str">
        <f>Calculation!X$33</f>
        <v>2036-37</v>
      </c>
      <c r="V122" s="107" t="str">
        <f>Calculation!Y$33</f>
        <v>2037-38</v>
      </c>
      <c r="W122" s="107" t="str">
        <f>Calculation!Z$33</f>
        <v>2038-39</v>
      </c>
      <c r="X122" s="107" t="str">
        <f>Calculation!AA$33</f>
        <v>2039-40</v>
      </c>
      <c r="Y122" s="107" t="str">
        <f>Calculation!AB$33</f>
        <v>2040-41</v>
      </c>
      <c r="Z122" s="107" t="str">
        <f>Calculation!AC$33</f>
        <v>2041-42</v>
      </c>
      <c r="AA122" s="107" t="str">
        <f>Calculation!AD$33</f>
        <v>2042-43</v>
      </c>
      <c r="AB122" s="107" t="str">
        <f>Calculation!AE$33</f>
        <v>2043-44</v>
      </c>
      <c r="AC122" s="107" t="str">
        <f>Calculation!AF$33</f>
        <v>2044-45</v>
      </c>
      <c r="BD122" s="116"/>
      <c r="BF122" s="101"/>
    </row>
    <row r="123" spans="2:58" x14ac:dyDescent="0.25">
      <c r="B123" s="105" t="str">
        <f>$B$35</f>
        <v>Avoided unserved energy</v>
      </c>
      <c r="C123" s="105"/>
      <c r="D123" s="203">
        <f>D91*Calculation!G$31</f>
        <v>0</v>
      </c>
      <c r="E123" s="203">
        <f>(D123+E91)*Calculation!H$31</f>
        <v>0.38766966154798865</v>
      </c>
      <c r="F123" s="203">
        <f>(E123+F91)*Calculation!I$31</f>
        <v>-0.49362395750358701</v>
      </c>
      <c r="G123" s="203">
        <f>(F123+G91)*Calculation!J$31</f>
        <v>-537097.15461777197</v>
      </c>
      <c r="H123" s="203">
        <f>(G123+H91)*Calculation!K$31</f>
        <v>9829665.2596469</v>
      </c>
      <c r="I123" s="203">
        <f>(H123+I91)*Calculation!L$31</f>
        <v>15167222.25724528</v>
      </c>
      <c r="J123" s="203">
        <f>(I123+J91)*Calculation!M$31</f>
        <v>15167223.314271739</v>
      </c>
      <c r="K123" s="203">
        <f>(J123+K91)*Calculation!N$31</f>
        <v>15167224.433643213</v>
      </c>
      <c r="L123" s="203">
        <f>(K123+L91)*Calculation!O$31</f>
        <v>15167225.622443615</v>
      </c>
      <c r="M123" s="203">
        <f>(L123+M91)*Calculation!P$31</f>
        <v>11598711.829974232</v>
      </c>
      <c r="N123" s="203">
        <f>(M123+N91)*Calculation!Q$31</f>
        <v>11039319.714919416</v>
      </c>
      <c r="O123" s="203">
        <f>(N123+O91)*Calculation!R$31</f>
        <v>11848430.224555831</v>
      </c>
      <c r="P123" s="203">
        <f>(O123+P91)*Calculation!S$31</f>
        <v>11629492.768530132</v>
      </c>
      <c r="Q123" s="203">
        <f>(P123+Q91)*Calculation!T$31</f>
        <v>11817917.905799575</v>
      </c>
      <c r="R123" s="203">
        <f>(Q123+R91)*Calculation!U$31</f>
        <v>8669372.9415083751</v>
      </c>
      <c r="S123" s="203">
        <f>(R123+S91)*Calculation!V$31</f>
        <v>9702806.409103455</v>
      </c>
      <c r="T123" s="203">
        <f>(S123+T91)*Calculation!W$31</f>
        <v>11944216.082748296</v>
      </c>
      <c r="U123" s="203">
        <f>(T123+U91)*Calculation!X$31</f>
        <v>11944218.061647749</v>
      </c>
      <c r="V123" s="203">
        <f>(U123+V91)*Calculation!Y$31</f>
        <v>11944220.154689239</v>
      </c>
      <c r="W123" s="203">
        <f>(V123+W91)*Calculation!Z$31</f>
        <v>11944178.399239164</v>
      </c>
      <c r="X123" s="203">
        <f>(W123+X91)*Calculation!AA$31</f>
        <v>19974598.684242781</v>
      </c>
      <c r="Y123" s="203">
        <f>(X123+Y91)*Calculation!AB$31</f>
        <v>8597753.580930952</v>
      </c>
      <c r="Z123" s="203">
        <f>(Y123+Z91)*Calculation!AC$31</f>
        <v>5898297.7460209168</v>
      </c>
      <c r="AA123" s="203">
        <f>(Z123+AA91)*Calculation!AD$31</f>
        <v>4979882.6855232604</v>
      </c>
      <c r="AB123" s="203">
        <f>(AA123+AB91)*Calculation!AE$31</f>
        <v>1842692.715276707</v>
      </c>
      <c r="AC123" s="203">
        <f>(AB123+AC91)*Calculation!AF$31</f>
        <v>1842695.8292377293</v>
      </c>
      <c r="BD123" s="116"/>
      <c r="BF123" s="101"/>
    </row>
    <row r="124" spans="2:58" x14ac:dyDescent="0.25">
      <c r="B124" s="105" t="str">
        <f>$B$36</f>
        <v>Avoided REZ transmission capex</v>
      </c>
      <c r="C124" s="105"/>
      <c r="D124" s="203">
        <f>D92*Calculation!G$31</f>
        <v>0</v>
      </c>
      <c r="E124" s="203">
        <f>(D124+E92)*Calculation!H$31</f>
        <v>9.4592198379995072</v>
      </c>
      <c r="F124" s="203">
        <f>(E124+F92)*Calculation!I$31</f>
        <v>10.247179351725977</v>
      </c>
      <c r="G124" s="203">
        <f>(F124+G92)*Calculation!J$31</f>
        <v>11.080160330277103</v>
      </c>
      <c r="H124" s="203">
        <f>(G124+H92)*Calculation!K$31</f>
        <v>12.791884022945991</v>
      </c>
      <c r="I124" s="203">
        <f>(H124+I92)*Calculation!L$31</f>
        <v>13.98733979958824</v>
      </c>
      <c r="J124" s="203">
        <f>(I124+J92)*Calculation!M$31</f>
        <v>15.213818841324697</v>
      </c>
      <c r="K124" s="203">
        <f>(J124+K92)*Calculation!N$31</f>
        <v>16.615875652983341</v>
      </c>
      <c r="L124" s="203">
        <f>(K124+L92)*Calculation!O$31</f>
        <v>18.787806248404618</v>
      </c>
      <c r="M124" s="203">
        <f>(L124+M92)*Calculation!P$31</f>
        <v>35567719.646700434</v>
      </c>
      <c r="N124" s="203">
        <f>(M124+N92)*Calculation!Q$31</f>
        <v>35567723.842368141</v>
      </c>
      <c r="O124" s="203">
        <f>(N124+O92)*Calculation!R$31</f>
        <v>35567724.217968307</v>
      </c>
      <c r="P124" s="203">
        <f>(O124+P92)*Calculation!S$31</f>
        <v>39562793.463702522</v>
      </c>
      <c r="Q124" s="203">
        <f>(P124+Q92)*Calculation!T$31</f>
        <v>29764980.388229512</v>
      </c>
      <c r="R124" s="203">
        <f>(Q124+R92)*Calculation!U$31</f>
        <v>38630792.001037173</v>
      </c>
      <c r="S124" s="203">
        <f>(R124+S92)*Calculation!V$31</f>
        <v>38630792.001037173</v>
      </c>
      <c r="T124" s="203">
        <f>(S124+T92)*Calculation!W$31</f>
        <v>74550513.165352404</v>
      </c>
      <c r="U124" s="203">
        <f>(T124+U92)*Calculation!X$31</f>
        <v>71765247.901504606</v>
      </c>
      <c r="V124" s="203">
        <f>(U124+V92)*Calculation!Y$31</f>
        <v>71765248.272277281</v>
      </c>
      <c r="W124" s="203">
        <f>(V124+W92)*Calculation!Z$31</f>
        <v>71765249.883332461</v>
      </c>
      <c r="X124" s="203">
        <f>(W124+X92)*Calculation!AA$31</f>
        <v>58444215.460574865</v>
      </c>
      <c r="Y124" s="203">
        <f>(X124+Y92)*Calculation!AB$31</f>
        <v>53789788.237867594</v>
      </c>
      <c r="Z124" s="203">
        <f>(Y124+Z92)*Calculation!AC$31</f>
        <v>53789791.580207288</v>
      </c>
      <c r="AA124" s="203">
        <f>(Z124+AA92)*Calculation!AD$31</f>
        <v>67065034.831381164</v>
      </c>
      <c r="AB124" s="203">
        <f>(AA124+AB92)*Calculation!AE$31</f>
        <v>29909056.243243955</v>
      </c>
      <c r="AC124" s="203">
        <f>(AB124+AC92)*Calculation!AF$31</f>
        <v>30914371.143563628</v>
      </c>
      <c r="BD124" s="116"/>
      <c r="BF124" s="101"/>
    </row>
    <row r="125" spans="2:58" x14ac:dyDescent="0.25">
      <c r="B125" s="105" t="str">
        <f>$B$37</f>
        <v>Avoided fuel costs</v>
      </c>
      <c r="C125" s="105"/>
      <c r="D125" s="203">
        <f>D93*Calculation!G$31</f>
        <v>0</v>
      </c>
      <c r="E125" s="203">
        <f>(D125+E93)*Calculation!H$31</f>
        <v>-20.771078109741211</v>
      </c>
      <c r="F125" s="203">
        <f>(E125+F93)*Calculation!I$31</f>
        <v>38929.319477558136</v>
      </c>
      <c r="G125" s="203">
        <f>(F125+G93)*Calculation!J$31</f>
        <v>5790325.775343895</v>
      </c>
      <c r="H125" s="203">
        <f>(G125+H93)*Calculation!K$31</f>
        <v>12211392.496883869</v>
      </c>
      <c r="I125" s="203">
        <f>(H125+I93)*Calculation!L$31</f>
        <v>19143169.588709831</v>
      </c>
      <c r="J125" s="203">
        <f>(I125+J93)*Calculation!M$31</f>
        <v>29550235.792561531</v>
      </c>
      <c r="K125" s="203">
        <f>(J125+K93)*Calculation!N$31</f>
        <v>37173941.233226776</v>
      </c>
      <c r="L125" s="203">
        <f>(K125+L93)*Calculation!O$31</f>
        <v>46257519.773935795</v>
      </c>
      <c r="M125" s="203">
        <f>(L125+M93)*Calculation!P$31</f>
        <v>41989982.33538866</v>
      </c>
      <c r="N125" s="203">
        <f>(M125+N93)*Calculation!Q$31</f>
        <v>30782355.713076591</v>
      </c>
      <c r="O125" s="203">
        <f>(N125+O93)*Calculation!R$31</f>
        <v>17226999.749619484</v>
      </c>
      <c r="P125" s="203">
        <f>(O125+P93)*Calculation!S$31</f>
        <v>8046905.1008434296</v>
      </c>
      <c r="Q125" s="203">
        <f>(P125+Q93)*Calculation!T$31</f>
        <v>20423529.678161144</v>
      </c>
      <c r="R125" s="203">
        <f>(Q125+R93)*Calculation!U$31</f>
        <v>22553713.819876194</v>
      </c>
      <c r="S125" s="203">
        <f>(R125+S93)*Calculation!V$31</f>
        <v>3160704.1298298836</v>
      </c>
      <c r="T125" s="203">
        <f>(S125+T93)*Calculation!W$31</f>
        <v>-8901419.5776376724</v>
      </c>
      <c r="U125" s="203">
        <f>(T125+U93)*Calculation!X$31</f>
        <v>10178685.11049509</v>
      </c>
      <c r="V125" s="203">
        <f>(U125+V93)*Calculation!Y$31</f>
        <v>24316695.839979172</v>
      </c>
      <c r="W125" s="203">
        <f>(V125+W93)*Calculation!Z$31</f>
        <v>31908127.231192112</v>
      </c>
      <c r="X125" s="203">
        <f>(W125+X93)*Calculation!AA$31</f>
        <v>44298275.196593761</v>
      </c>
      <c r="Y125" s="203">
        <f>(X125+Y93)*Calculation!AB$31</f>
        <v>71929278.43708086</v>
      </c>
      <c r="Z125" s="203">
        <f>(Y125+Z93)*Calculation!AC$31</f>
        <v>84205281.589345455</v>
      </c>
      <c r="AA125" s="203">
        <f>(Z125+AA93)*Calculation!AD$31</f>
        <v>77819509.129219055</v>
      </c>
      <c r="AB125" s="203">
        <f>(AA125+AB93)*Calculation!AE$31</f>
        <v>132186901.59641981</v>
      </c>
      <c r="AC125" s="203">
        <f>(AB125+AC93)*Calculation!AF$31</f>
        <v>177790039.94214296</v>
      </c>
      <c r="BD125" s="116"/>
      <c r="BF125" s="101"/>
    </row>
    <row r="126" spans="2:58" x14ac:dyDescent="0.25">
      <c r="B126" s="105" t="str">
        <f>$B$38</f>
        <v>Avoided voluntary load curtailment</v>
      </c>
      <c r="C126" s="105"/>
      <c r="D126" s="203">
        <f>D94*Calculation!G$31</f>
        <v>0</v>
      </c>
      <c r="E126" s="203">
        <f>(D126+E94)*Calculation!H$31</f>
        <v>2.5180001663975418</v>
      </c>
      <c r="F126" s="203">
        <f>(E126+F94)*Calculation!I$31</f>
        <v>5.2076417932403274</v>
      </c>
      <c r="G126" s="203">
        <f>(F126+G94)*Calculation!J$31</f>
        <v>157137.69926260022</v>
      </c>
      <c r="H126" s="203">
        <f>(G126+H94)*Calculation!K$31</f>
        <v>332054.14605298248</v>
      </c>
      <c r="I126" s="203">
        <f>(H126+I94)*Calculation!L$31</f>
        <v>364768.18455941865</v>
      </c>
      <c r="J126" s="203">
        <f>(I126+J94)*Calculation!M$31</f>
        <v>364771.6269891393</v>
      </c>
      <c r="K126" s="203">
        <f>(J126+K94)*Calculation!N$31</f>
        <v>367705.04525645275</v>
      </c>
      <c r="L126" s="203">
        <f>(K126+L94)*Calculation!O$31</f>
        <v>369280.29323629168</v>
      </c>
      <c r="M126" s="203">
        <f>(L126+M94)*Calculation!P$31</f>
        <v>415449.35728350602</v>
      </c>
      <c r="N126" s="203">
        <f>(M126+N94)*Calculation!Q$31</f>
        <v>422465.74135578884</v>
      </c>
      <c r="O126" s="203">
        <f>(N126+O94)*Calculation!R$31</f>
        <v>408151.00880114984</v>
      </c>
      <c r="P126" s="203">
        <f>(O126+P94)*Calculation!S$31</f>
        <v>424177.23652833601</v>
      </c>
      <c r="Q126" s="203">
        <f>(P126+Q94)*Calculation!T$31</f>
        <v>1210360.3845236227</v>
      </c>
      <c r="R126" s="203">
        <f>(Q126+R94)*Calculation!U$31</f>
        <v>1630924.9788258327</v>
      </c>
      <c r="S126" s="203">
        <f>(R126+S94)*Calculation!V$31</f>
        <v>2699081.9416792979</v>
      </c>
      <c r="T126" s="203">
        <f>(S126+T94)*Calculation!W$31</f>
        <v>4782242.1171041178</v>
      </c>
      <c r="U126" s="203">
        <f>(T126+U94)*Calculation!X$31</f>
        <v>4782242.1516258828</v>
      </c>
      <c r="V126" s="203">
        <f>(U126+V94)*Calculation!Y$31</f>
        <v>4730814.3013626505</v>
      </c>
      <c r="W126" s="203">
        <f>(V126+W94)*Calculation!Z$31</f>
        <v>4370965.7119845543</v>
      </c>
      <c r="X126" s="203">
        <f>(W126+X94)*Calculation!AA$31</f>
        <v>10052565.343254166</v>
      </c>
      <c r="Y126" s="203">
        <f>(X126+Y94)*Calculation!AB$31</f>
        <v>6807012.524427738</v>
      </c>
      <c r="Z126" s="203">
        <f>(Y126+Z94)*Calculation!AC$31</f>
        <v>10125921.335854208</v>
      </c>
      <c r="AA126" s="203">
        <f>(Z126+AA94)*Calculation!AD$31</f>
        <v>10486414.167704852</v>
      </c>
      <c r="AB126" s="203">
        <f>(AA126+AB94)*Calculation!AE$31</f>
        <v>10395825.216224728</v>
      </c>
      <c r="AC126" s="203">
        <f>(AB126+AC94)*Calculation!AF$31</f>
        <v>10395836.435011538</v>
      </c>
      <c r="BD126" s="116"/>
      <c r="BF126" s="101"/>
    </row>
    <row r="127" spans="2:58" x14ac:dyDescent="0.25">
      <c r="B127" s="105" t="str">
        <f>$B$39</f>
        <v>Avoided generation/storage costs (excl. fuel costs)</v>
      </c>
      <c r="C127" s="105"/>
      <c r="D127" s="203">
        <f>D95*Calculation!G$31</f>
        <v>0</v>
      </c>
      <c r="E127" s="203">
        <f>(D127+E95)*Calculation!H$31</f>
        <v>299.60872721672058</v>
      </c>
      <c r="F127" s="203">
        <f>(E127+F95)*Calculation!I$31</f>
        <v>9554.161620259285</v>
      </c>
      <c r="G127" s="203">
        <f>(F127+G95)*Calculation!J$31</f>
        <v>173627937.9195677</v>
      </c>
      <c r="H127" s="203">
        <f>(G127+H95)*Calculation!K$31</f>
        <v>155076725.93265021</v>
      </c>
      <c r="I127" s="203">
        <f>(H127+I95)*Calculation!L$31</f>
        <v>154681672.75397551</v>
      </c>
      <c r="J127" s="203">
        <f>(I127+J95)*Calculation!M$31</f>
        <v>156496280.72333062</v>
      </c>
      <c r="K127" s="203">
        <f>(J127+K95)*Calculation!N$31</f>
        <v>161230708.27363288</v>
      </c>
      <c r="L127" s="203">
        <f>(K127+L95)*Calculation!O$31</f>
        <v>166365323.97419536</v>
      </c>
      <c r="M127" s="203">
        <f>(L127+M95)*Calculation!P$31</f>
        <v>392104067.69984615</v>
      </c>
      <c r="N127" s="203">
        <f>(M127+N95)*Calculation!Q$31</f>
        <v>461167931.2435683</v>
      </c>
      <c r="O127" s="203">
        <f>(N127+O95)*Calculation!R$31</f>
        <v>460380567.92350721</v>
      </c>
      <c r="P127" s="203">
        <f>(O127+P95)*Calculation!S$31</f>
        <v>517499450.20585966</v>
      </c>
      <c r="Q127" s="203">
        <f>(P127+Q95)*Calculation!T$31</f>
        <v>264133463.16372156</v>
      </c>
      <c r="R127" s="203">
        <f>(Q127+R95)*Calculation!U$31</f>
        <v>393166096.44168377</v>
      </c>
      <c r="S127" s="203">
        <f>(R127+S95)*Calculation!V$31</f>
        <v>600027282.69229412</v>
      </c>
      <c r="T127" s="203">
        <f>(S127+T95)*Calculation!W$31</f>
        <v>661755454.31233501</v>
      </c>
      <c r="U127" s="203">
        <f>(T127+U95)*Calculation!X$31</f>
        <v>350172963.73036146</v>
      </c>
      <c r="V127" s="203">
        <f>(U127+V95)*Calculation!Y$31</f>
        <v>339965177.72362256</v>
      </c>
      <c r="W127" s="203">
        <f>(V127+W95)*Calculation!Z$31</f>
        <v>335852887.1769464</v>
      </c>
      <c r="X127" s="203">
        <f>(W127+X95)*Calculation!AA$31</f>
        <v>441306453.27502513</v>
      </c>
      <c r="Y127" s="203">
        <f>(X127+Y95)*Calculation!AB$31</f>
        <v>357616999.17781758</v>
      </c>
      <c r="Z127" s="203">
        <f>(Y127+Z95)*Calculation!AC$31</f>
        <v>429268018.73682296</v>
      </c>
      <c r="AA127" s="203">
        <f>(Z127+AA95)*Calculation!AD$31</f>
        <v>454158397.2726903</v>
      </c>
      <c r="AB127" s="203">
        <f>(AA127+AB95)*Calculation!AE$31</f>
        <v>408491919.63571835</v>
      </c>
      <c r="AC127" s="203">
        <f>(AB127+AC95)*Calculation!AF$31</f>
        <v>413117206.06354547</v>
      </c>
      <c r="BD127" s="116"/>
      <c r="BF127" s="101"/>
    </row>
    <row r="128" spans="2:58" x14ac:dyDescent="0.25"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BD128" s="116"/>
      <c r="BF128" s="101"/>
    </row>
    <row r="129" spans="2:58" ht="13" x14ac:dyDescent="0.3">
      <c r="B129" s="104" t="str">
        <f>B97</f>
        <v>Scenario 2</v>
      </c>
      <c r="C129" s="104"/>
      <c r="D129" s="107" t="str">
        <f>Calculation!G$33</f>
        <v>2019-20</v>
      </c>
      <c r="E129" s="107" t="str">
        <f>Calculation!H$33</f>
        <v>2020-21</v>
      </c>
      <c r="F129" s="107" t="str">
        <f>Calculation!I$33</f>
        <v>2021-22</v>
      </c>
      <c r="G129" s="107" t="str">
        <f>Calculation!J$33</f>
        <v>2022-23</v>
      </c>
      <c r="H129" s="107" t="str">
        <f>Calculation!K$33</f>
        <v>2023-24</v>
      </c>
      <c r="I129" s="107" t="str">
        <f>Calculation!L$33</f>
        <v>2024-25</v>
      </c>
      <c r="J129" s="107" t="str">
        <f>Calculation!M$33</f>
        <v>2025-26</v>
      </c>
      <c r="K129" s="107" t="str">
        <f>Calculation!N$33</f>
        <v>2026-27</v>
      </c>
      <c r="L129" s="107" t="str">
        <f>Calculation!O$33</f>
        <v>2027-28</v>
      </c>
      <c r="M129" s="107" t="str">
        <f>Calculation!P$33</f>
        <v>2028-29</v>
      </c>
      <c r="N129" s="107" t="str">
        <f>Calculation!Q$33</f>
        <v>2029-30</v>
      </c>
      <c r="O129" s="107" t="str">
        <f>Calculation!R$33</f>
        <v>2030-31</v>
      </c>
      <c r="P129" s="107" t="str">
        <f>Calculation!S$33</f>
        <v>2031-32</v>
      </c>
      <c r="Q129" s="107" t="str">
        <f>Calculation!T$33</f>
        <v>2032-33</v>
      </c>
      <c r="R129" s="107" t="str">
        <f>Calculation!U$33</f>
        <v>2033-34</v>
      </c>
      <c r="S129" s="107" t="str">
        <f>Calculation!V$33</f>
        <v>2034-35</v>
      </c>
      <c r="T129" s="107" t="str">
        <f>Calculation!W$33</f>
        <v>2035-36</v>
      </c>
      <c r="U129" s="107" t="str">
        <f>Calculation!X$33</f>
        <v>2036-37</v>
      </c>
      <c r="V129" s="107" t="str">
        <f>Calculation!Y$33</f>
        <v>2037-38</v>
      </c>
      <c r="W129" s="107" t="str">
        <f>Calculation!Z$33</f>
        <v>2038-39</v>
      </c>
      <c r="X129" s="107" t="str">
        <f>Calculation!AA$33</f>
        <v>2039-40</v>
      </c>
      <c r="Y129" s="107" t="str">
        <f>Calculation!AB$33</f>
        <v>2040-41</v>
      </c>
      <c r="Z129" s="107" t="str">
        <f>Calculation!AC$33</f>
        <v>2041-42</v>
      </c>
      <c r="AA129" s="107" t="str">
        <f>Calculation!AD$33</f>
        <v>2042-43</v>
      </c>
      <c r="AB129" s="107" t="str">
        <f>Calculation!AE$33</f>
        <v>2043-44</v>
      </c>
      <c r="AC129" s="107" t="str">
        <f>Calculation!AF$33</f>
        <v>2044-45</v>
      </c>
      <c r="BD129" s="116"/>
      <c r="BF129" s="101"/>
    </row>
    <row r="130" spans="2:58" x14ac:dyDescent="0.25">
      <c r="B130" s="105" t="str">
        <f>$B$35</f>
        <v>Avoided unserved energy</v>
      </c>
      <c r="C130" s="105"/>
      <c r="D130" s="203">
        <f>D98*Calculation!G$31</f>
        <v>0</v>
      </c>
      <c r="E130" s="203">
        <f>(D130+E98)*Calculation!H$31</f>
        <v>3.8301329775000115E-2</v>
      </c>
      <c r="F130" s="203">
        <f>(E130+F98)*Calculation!I$31</f>
        <v>7.4344252882743378E-2</v>
      </c>
      <c r="G130" s="203">
        <f>(F130+G98)*Calculation!J$31</f>
        <v>-3409504.8398146541</v>
      </c>
      <c r="H130" s="203">
        <f>(G130+H98)*Calculation!K$31</f>
        <v>-2697473.1402588547</v>
      </c>
      <c r="I130" s="203">
        <f>(H130+I98)*Calculation!L$31</f>
        <v>4056913.9838636904</v>
      </c>
      <c r="J130" s="203">
        <f>(I130+J98)*Calculation!M$31</f>
        <v>4056914.0348998234</v>
      </c>
      <c r="K130" s="203">
        <f>(J130+K98)*Calculation!N$31</f>
        <v>4056914.0889414698</v>
      </c>
      <c r="L130" s="203">
        <f>(K130+L98)*Calculation!O$31</f>
        <v>4056914.1463551368</v>
      </c>
      <c r="M130" s="203">
        <f>(L130+M98)*Calculation!P$31</f>
        <v>4583724.2806294048</v>
      </c>
      <c r="N130" s="203">
        <f>(M130+N98)*Calculation!Q$31</f>
        <v>2249995.3412089208</v>
      </c>
      <c r="O130" s="203">
        <f>(N130+O98)*Calculation!R$31</f>
        <v>2192003.7841080362</v>
      </c>
      <c r="P130" s="203">
        <f>(O130+P98)*Calculation!S$31</f>
        <v>2192003.8562411633</v>
      </c>
      <c r="Q130" s="203">
        <f>(P130+Q98)*Calculation!T$31</f>
        <v>37569.012308951933</v>
      </c>
      <c r="R130" s="203">
        <f>(Q130+R98)*Calculation!U$31</f>
        <v>-2188748.1276544924</v>
      </c>
      <c r="S130" s="203">
        <f>(R130+S98)*Calculation!V$31</f>
        <v>-2610867.521836088</v>
      </c>
      <c r="T130" s="203">
        <f>(S130+T98)*Calculation!W$31</f>
        <v>-3253466.0828834036</v>
      </c>
      <c r="U130" s="203">
        <f>(T130+U98)*Calculation!X$31</f>
        <v>-3253465.9874941316</v>
      </c>
      <c r="V130" s="203">
        <f>(U130+V98)*Calculation!Y$31</f>
        <v>-3253465.8865726506</v>
      </c>
      <c r="W130" s="203">
        <f>(V130+W98)*Calculation!Z$31</f>
        <v>-3297488.5282259467</v>
      </c>
      <c r="X130" s="203">
        <f>(W130+X98)*Calculation!AA$31</f>
        <v>20251582.755151134</v>
      </c>
      <c r="Y130" s="203">
        <f>(X130+Y98)*Calculation!AB$31</f>
        <v>20251582.874854397</v>
      </c>
      <c r="Z130" s="203">
        <f>(Y130+Z98)*Calculation!AC$31</f>
        <v>21828014.006408427</v>
      </c>
      <c r="AA130" s="203">
        <f>(Z130+AA98)*Calculation!AD$31</f>
        <v>21771920.648656592</v>
      </c>
      <c r="AB130" s="203">
        <f>(AA130+AB98)*Calculation!AE$31</f>
        <v>22974330.630869787</v>
      </c>
      <c r="AC130" s="203">
        <f>(AB130+AC98)*Calculation!AF$31</f>
        <v>22974330.781234726</v>
      </c>
      <c r="BD130" s="116"/>
      <c r="BF130" s="101"/>
    </row>
    <row r="131" spans="2:58" x14ac:dyDescent="0.25">
      <c r="B131" s="105" t="str">
        <f>$B$36</f>
        <v>Avoided REZ transmission capex</v>
      </c>
      <c r="C131" s="105"/>
      <c r="D131" s="203">
        <f>D99*Calculation!G$31</f>
        <v>0</v>
      </c>
      <c r="E131" s="203">
        <f>(D131+E99)*Calculation!H$31</f>
        <v>0.4654370144231148</v>
      </c>
      <c r="F131" s="203">
        <f>(E131+F99)*Calculation!I$31</f>
        <v>0.49583236026507715</v>
      </c>
      <c r="G131" s="203">
        <f>(F131+G99)*Calculation!J$31</f>
        <v>14286757.361322885</v>
      </c>
      <c r="H131" s="203">
        <f>(G131+H99)*Calculation!K$31</f>
        <v>14286757.338124709</v>
      </c>
      <c r="I131" s="203">
        <f>(H131+I99)*Calculation!L$31</f>
        <v>2026761.5778742302</v>
      </c>
      <c r="J131" s="203">
        <f>(I131+J99)*Calculation!M$31</f>
        <v>20702453.887227088</v>
      </c>
      <c r="K131" s="203">
        <f>(J131+K99)*Calculation!N$31</f>
        <v>20702453.911768775</v>
      </c>
      <c r="L131" s="203">
        <f>(K131+L99)*Calculation!O$31</f>
        <v>49862688.508041069</v>
      </c>
      <c r="M131" s="203">
        <f>(L131+M99)*Calculation!P$31</f>
        <v>45097180.75800328</v>
      </c>
      <c r="N131" s="203">
        <f>(M131+N99)*Calculation!Q$31</f>
        <v>40496852.360782936</v>
      </c>
      <c r="O131" s="203">
        <f>(N131+O99)*Calculation!R$31</f>
        <v>35778810.066342294</v>
      </c>
      <c r="P131" s="203">
        <f>(O131+P99)*Calculation!S$31</f>
        <v>32536740.213936567</v>
      </c>
      <c r="Q131" s="203">
        <f>(P131+Q99)*Calculation!T$31</f>
        <v>52299195.812565446</v>
      </c>
      <c r="R131" s="203">
        <f>(Q131+R99)*Calculation!U$31</f>
        <v>48410872.97514087</v>
      </c>
      <c r="S131" s="203">
        <f>(R131+S99)*Calculation!V$31</f>
        <v>48410872.96203012</v>
      </c>
      <c r="T131" s="203">
        <f>(S131+T99)*Calculation!W$31</f>
        <v>67224562.003872454</v>
      </c>
      <c r="U131" s="203">
        <f>(T131+U99)*Calculation!X$31</f>
        <v>49094605.247794524</v>
      </c>
      <c r="V131" s="203">
        <f>(U131+V99)*Calculation!Y$31</f>
        <v>43949033.536424294</v>
      </c>
      <c r="W131" s="203">
        <f>(V131+W99)*Calculation!Z$31</f>
        <v>32312649.829378508</v>
      </c>
      <c r="X131" s="203">
        <f>(W131+X99)*Calculation!AA$31</f>
        <v>56026520.736469053</v>
      </c>
      <c r="Y131" s="203">
        <f>(X131+Y99)*Calculation!AB$31</f>
        <v>52938139.25812193</v>
      </c>
      <c r="Z131" s="203">
        <f>(Y131+Z99)*Calculation!AC$31</f>
        <v>59509711.552330874</v>
      </c>
      <c r="AA131" s="203">
        <f>(Z131+AA99)*Calculation!AD$31</f>
        <v>59509711.532589205</v>
      </c>
      <c r="AB131" s="203">
        <f>(AA131+AB99)*Calculation!AE$31</f>
        <v>63303346.729465492</v>
      </c>
      <c r="AC131" s="203">
        <f>(AB131+AC99)*Calculation!AF$31</f>
        <v>63324437.68300163</v>
      </c>
      <c r="BD131" s="116"/>
      <c r="BF131" s="101"/>
    </row>
    <row r="132" spans="2:58" x14ac:dyDescent="0.25">
      <c r="B132" s="105" t="str">
        <f>$B$37</f>
        <v>Avoided fuel costs</v>
      </c>
      <c r="C132" s="105"/>
      <c r="D132" s="203">
        <f>D100*Calculation!G$31</f>
        <v>0</v>
      </c>
      <c r="E132" s="203">
        <f>(D132+E100)*Calculation!H$31</f>
        <v>-216.97541189193726</v>
      </c>
      <c r="F132" s="203">
        <f>(E132+F100)*Calculation!I$31</f>
        <v>-89325.489036083221</v>
      </c>
      <c r="G132" s="203">
        <f>(F132+G100)*Calculation!J$31</f>
        <v>677075.24011087418</v>
      </c>
      <c r="H132" s="203">
        <f>(G132+H100)*Calculation!K$31</f>
        <v>2879323.0344161987</v>
      </c>
      <c r="I132" s="203">
        <f>(H132+I100)*Calculation!L$31</f>
        <v>3725373.0076584816</v>
      </c>
      <c r="J132" s="203">
        <f>(I132+J100)*Calculation!M$31</f>
        <v>3484206.6197957993</v>
      </c>
      <c r="K132" s="203">
        <f>(J132+K100)*Calculation!N$31</f>
        <v>3882517.0402421951</v>
      </c>
      <c r="L132" s="203">
        <f>(K132+L100)*Calculation!O$31</f>
        <v>6348567.7209553719</v>
      </c>
      <c r="M132" s="203">
        <f>(L132+M100)*Calculation!P$31</f>
        <v>9463101.3888542652</v>
      </c>
      <c r="N132" s="203">
        <f>(M132+N100)*Calculation!Q$31</f>
        <v>10827831.7054739</v>
      </c>
      <c r="O132" s="203">
        <f>(N132+O100)*Calculation!R$31</f>
        <v>14210303.443451643</v>
      </c>
      <c r="P132" s="203">
        <f>(O132+P100)*Calculation!S$31</f>
        <v>23116646.907223463</v>
      </c>
      <c r="Q132" s="203">
        <f>(P132+Q100)*Calculation!T$31</f>
        <v>32202138.764283657</v>
      </c>
      <c r="R132" s="203">
        <f>(Q132+R100)*Calculation!U$31</f>
        <v>47835426.80934906</v>
      </c>
      <c r="S132" s="203">
        <f>(R132+S100)*Calculation!V$31</f>
        <v>44514847.522252321</v>
      </c>
      <c r="T132" s="203">
        <f>(S132+T100)*Calculation!W$31</f>
        <v>50804193.40204215</v>
      </c>
      <c r="U132" s="203">
        <f>(T132+U100)*Calculation!X$31</f>
        <v>52851815.697155952</v>
      </c>
      <c r="V132" s="203">
        <f>(U132+V100)*Calculation!Y$31</f>
        <v>62343950.628957272</v>
      </c>
      <c r="W132" s="203">
        <f>(V132+W100)*Calculation!Z$31</f>
        <v>69387751.392102957</v>
      </c>
      <c r="X132" s="203">
        <f>(W132+X100)*Calculation!AA$31</f>
        <v>86896787.558475733</v>
      </c>
      <c r="Y132" s="203">
        <f>(X132+Y100)*Calculation!AB$31</f>
        <v>101567545.98632598</v>
      </c>
      <c r="Z132" s="203">
        <f>(Y132+Z100)*Calculation!AC$31</f>
        <v>123362943.77170205</v>
      </c>
      <c r="AA132" s="203">
        <f>(Z132+AA100)*Calculation!AD$31</f>
        <v>144338930.58579254</v>
      </c>
      <c r="AB132" s="203">
        <f>(AA132+AB100)*Calculation!AE$31</f>
        <v>173801605.16613388</v>
      </c>
      <c r="AC132" s="203">
        <f>(AB132+AC100)*Calculation!AF$31</f>
        <v>197467874.28106236</v>
      </c>
      <c r="BD132" s="116"/>
      <c r="BF132" s="101"/>
    </row>
    <row r="133" spans="2:58" x14ac:dyDescent="0.25">
      <c r="B133" s="105" t="str">
        <f>$B$38</f>
        <v>Avoided voluntary load curtailment</v>
      </c>
      <c r="C133" s="105"/>
      <c r="D133" s="203">
        <f>D101*Calculation!G$31</f>
        <v>0</v>
      </c>
      <c r="E133" s="203">
        <f>(D133+E101)*Calculation!H$31</f>
        <v>0.12419850379956188</v>
      </c>
      <c r="F133" s="203">
        <f>(E133+F101)*Calculation!I$31</f>
        <v>0.25116186327795731</v>
      </c>
      <c r="G133" s="203">
        <f>(F133+G101)*Calculation!J$31</f>
        <v>326759.51706468564</v>
      </c>
      <c r="H133" s="203">
        <f>(G133+H101)*Calculation!K$31</f>
        <v>-20641.174404681951</v>
      </c>
      <c r="I133" s="203">
        <f>(H133+I101)*Calculation!L$31</f>
        <v>-108055.05036713864</v>
      </c>
      <c r="J133" s="203">
        <f>(I133+J101)*Calculation!M$31</f>
        <v>-108054.87654644329</v>
      </c>
      <c r="K133" s="203">
        <f>(J133+K101)*Calculation!N$31</f>
        <v>-108054.69521165261</v>
      </c>
      <c r="L133" s="203">
        <f>(K133+L101)*Calculation!O$31</f>
        <v>-108054.49318372051</v>
      </c>
      <c r="M133" s="203">
        <f>(L133+M101)*Calculation!P$31</f>
        <v>-162342.83302356268</v>
      </c>
      <c r="N133" s="203">
        <f>(M133+N101)*Calculation!Q$31</f>
        <v>-176051.94893178588</v>
      </c>
      <c r="O133" s="203">
        <f>(N133+O101)*Calculation!R$31</f>
        <v>-160439.9890841326</v>
      </c>
      <c r="P133" s="203">
        <f>(O133+P101)*Calculation!S$31</f>
        <v>-123817.1052530749</v>
      </c>
      <c r="Q133" s="203">
        <f>(P133+Q101)*Calculation!T$31</f>
        <v>-249765.52504747466</v>
      </c>
      <c r="R133" s="203">
        <f>(Q133+R101)*Calculation!U$31</f>
        <v>780189.9861567606</v>
      </c>
      <c r="S133" s="203">
        <f>(R133+S101)*Calculation!V$31</f>
        <v>2568297.6246403549</v>
      </c>
      <c r="T133" s="203">
        <f>(S133+T101)*Calculation!W$31</f>
        <v>7760252.8670099825</v>
      </c>
      <c r="U133" s="203">
        <f>(T133+U101)*Calculation!X$31</f>
        <v>7760253.2163886456</v>
      </c>
      <c r="V133" s="203">
        <f>(U133+V101)*Calculation!Y$31</f>
        <v>7760253.5951456167</v>
      </c>
      <c r="W133" s="203">
        <f>(V133+W101)*Calculation!Z$31</f>
        <v>7814420.4318561777</v>
      </c>
      <c r="X133" s="203">
        <f>(W133+X101)*Calculation!AA$31</f>
        <v>15855606.912510041</v>
      </c>
      <c r="Y133" s="203">
        <f>(X133+Y101)*Calculation!AB$31</f>
        <v>17347436.392432567</v>
      </c>
      <c r="Z133" s="203">
        <f>(Y133+Z101)*Calculation!AC$31</f>
        <v>33209645.362378798</v>
      </c>
      <c r="AA133" s="203">
        <f>(Z133+AA101)*Calculation!AD$31</f>
        <v>38512415.635937862</v>
      </c>
      <c r="AB133" s="203">
        <f>(AA133+AB101)*Calculation!AE$31</f>
        <v>66508821.669338159</v>
      </c>
      <c r="AC133" s="203">
        <f>(AB133+AC101)*Calculation!AF$31</f>
        <v>113561816.45796502</v>
      </c>
      <c r="BD133" s="116"/>
      <c r="BF133" s="101"/>
    </row>
    <row r="134" spans="2:58" x14ac:dyDescent="0.25">
      <c r="B134" s="105" t="str">
        <f>$B$39</f>
        <v>Avoided generation/storage costs (excl. fuel costs)</v>
      </c>
      <c r="C134" s="105"/>
      <c r="D134" s="203">
        <f>D102*Calculation!G$31</f>
        <v>0</v>
      </c>
      <c r="E134" s="203">
        <f>(D134+E102)*Calculation!H$31</f>
        <v>25.066630125045776</v>
      </c>
      <c r="F134" s="203">
        <f>(E134+F102)*Calculation!I$31</f>
        <v>5737.3895221948624</v>
      </c>
      <c r="G134" s="203">
        <f>(F134+G102)*Calculation!J$31</f>
        <v>241008922.81714237</v>
      </c>
      <c r="H134" s="203">
        <f>(G134+H102)*Calculation!K$31</f>
        <v>215190350.9304415</v>
      </c>
      <c r="I134" s="203">
        <f>(H134+I102)*Calculation!L$31</f>
        <v>184357995.83106387</v>
      </c>
      <c r="J134" s="203">
        <f>(I134+J102)*Calculation!M$31</f>
        <v>168365662.79946673</v>
      </c>
      <c r="K134" s="203">
        <f>(J134+K102)*Calculation!N$31</f>
        <v>182055547.09264767</v>
      </c>
      <c r="L134" s="203">
        <f>(K134+L102)*Calculation!O$31</f>
        <v>213124066.68051159</v>
      </c>
      <c r="M134" s="203">
        <f>(L134+M102)*Calculation!P$31</f>
        <v>237842187.43089974</v>
      </c>
      <c r="N134" s="203">
        <f>(M134+N102)*Calculation!Q$31</f>
        <v>267787839.6545192</v>
      </c>
      <c r="O134" s="203">
        <f>(N134+O102)*Calculation!R$31</f>
        <v>206433550.99121583</v>
      </c>
      <c r="P134" s="203">
        <f>(O134+P102)*Calculation!S$31</f>
        <v>168032767.73793709</v>
      </c>
      <c r="Q134" s="203">
        <f>(P134+Q102)*Calculation!T$31</f>
        <v>224217803.73293459</v>
      </c>
      <c r="R134" s="203">
        <f>(Q134+R102)*Calculation!U$31</f>
        <v>191052310.43223441</v>
      </c>
      <c r="S134" s="203">
        <f>(R134+S102)*Calculation!V$31</f>
        <v>295517805.85959542</v>
      </c>
      <c r="T134" s="203">
        <f>(S134+T102)*Calculation!W$31</f>
        <v>412982510.88227761</v>
      </c>
      <c r="U134" s="203">
        <f>(T134+U102)*Calculation!X$31</f>
        <v>418140721.93686974</v>
      </c>
      <c r="V134" s="203">
        <f>(U134+V102)*Calculation!Y$31</f>
        <v>346768487.83960354</v>
      </c>
      <c r="W134" s="203">
        <f>(V134+W102)*Calculation!Z$31</f>
        <v>323082778.49500859</v>
      </c>
      <c r="X134" s="203">
        <f>(W134+X102)*Calculation!AA$31</f>
        <v>331615886.934847</v>
      </c>
      <c r="Y134" s="203">
        <f>(X134+Y102)*Calculation!AB$31</f>
        <v>345544445.86748803</v>
      </c>
      <c r="Z134" s="203">
        <f>(Y134+Z102)*Calculation!AC$31</f>
        <v>339355401.71238196</v>
      </c>
      <c r="AA134" s="203">
        <f>(Z134+AA102)*Calculation!AD$31</f>
        <v>338460321.935148</v>
      </c>
      <c r="AB134" s="203">
        <f>(AA134+AB102)*Calculation!AE$31</f>
        <v>415698268.90862155</v>
      </c>
      <c r="AC134" s="203">
        <f>(AB134+AC102)*Calculation!AF$31</f>
        <v>402076393.12814283</v>
      </c>
      <c r="BD134" s="116"/>
      <c r="BF134" s="101"/>
    </row>
    <row r="135" spans="2:58" x14ac:dyDescent="0.25"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BD135" s="116"/>
      <c r="BF135" s="101"/>
    </row>
    <row r="136" spans="2:58" ht="13" x14ac:dyDescent="0.3">
      <c r="B136" s="104" t="str">
        <f>B104</f>
        <v>Scenario 3</v>
      </c>
      <c r="C136" s="104"/>
      <c r="D136" s="107" t="str">
        <f>Calculation!G$33</f>
        <v>2019-20</v>
      </c>
      <c r="E136" s="107" t="str">
        <f>Calculation!H$33</f>
        <v>2020-21</v>
      </c>
      <c r="F136" s="107" t="str">
        <f>Calculation!I$33</f>
        <v>2021-22</v>
      </c>
      <c r="G136" s="107" t="str">
        <f>Calculation!J$33</f>
        <v>2022-23</v>
      </c>
      <c r="H136" s="107" t="str">
        <f>Calculation!K$33</f>
        <v>2023-24</v>
      </c>
      <c r="I136" s="107" t="str">
        <f>Calculation!L$33</f>
        <v>2024-25</v>
      </c>
      <c r="J136" s="107" t="str">
        <f>Calculation!M$33</f>
        <v>2025-26</v>
      </c>
      <c r="K136" s="107" t="str">
        <f>Calculation!N$33</f>
        <v>2026-27</v>
      </c>
      <c r="L136" s="107" t="str">
        <f>Calculation!O$33</f>
        <v>2027-28</v>
      </c>
      <c r="M136" s="107" t="str">
        <f>Calculation!P$33</f>
        <v>2028-29</v>
      </c>
      <c r="N136" s="107" t="str">
        <f>Calculation!Q$33</f>
        <v>2029-30</v>
      </c>
      <c r="O136" s="107" t="str">
        <f>Calculation!R$33</f>
        <v>2030-31</v>
      </c>
      <c r="P136" s="107" t="str">
        <f>Calculation!S$33</f>
        <v>2031-32</v>
      </c>
      <c r="Q136" s="107" t="str">
        <f>Calculation!T$33</f>
        <v>2032-33</v>
      </c>
      <c r="R136" s="107" t="str">
        <f>Calculation!U$33</f>
        <v>2033-34</v>
      </c>
      <c r="S136" s="107" t="str">
        <f>Calculation!V$33</f>
        <v>2034-35</v>
      </c>
      <c r="T136" s="107" t="str">
        <f>Calculation!W$33</f>
        <v>2035-36</v>
      </c>
      <c r="U136" s="107" t="str">
        <f>Calculation!X$33</f>
        <v>2036-37</v>
      </c>
      <c r="V136" s="107" t="str">
        <f>Calculation!Y$33</f>
        <v>2037-38</v>
      </c>
      <c r="W136" s="107" t="str">
        <f>Calculation!Z$33</f>
        <v>2038-39</v>
      </c>
      <c r="X136" s="107" t="str">
        <f>Calculation!AA$33</f>
        <v>2039-40</v>
      </c>
      <c r="Y136" s="107" t="str">
        <f>Calculation!AB$33</f>
        <v>2040-41</v>
      </c>
      <c r="Z136" s="107" t="str">
        <f>Calculation!AC$33</f>
        <v>2041-42</v>
      </c>
      <c r="AA136" s="107" t="str">
        <f>Calculation!AD$33</f>
        <v>2042-43</v>
      </c>
      <c r="AB136" s="107" t="str">
        <f>Calculation!AE$33</f>
        <v>2043-44</v>
      </c>
      <c r="AC136" s="107" t="str">
        <f>Calculation!AF$33</f>
        <v>2044-45</v>
      </c>
      <c r="BD136" s="116"/>
      <c r="BF136" s="101"/>
    </row>
    <row r="137" spans="2:58" x14ac:dyDescent="0.25">
      <c r="B137" s="105" t="str">
        <f>$B$35</f>
        <v>Avoided unserved energy</v>
      </c>
      <c r="C137" s="105"/>
      <c r="D137" s="203">
        <f>D105*Calculation!G$31</f>
        <v>0</v>
      </c>
      <c r="E137" s="203">
        <f>(D137+E105)*Calculation!H$31</f>
        <v>-21.8353038020432</v>
      </c>
      <c r="F137" s="203">
        <f>(E137+F105)*Calculation!I$31</f>
        <v>-35.190363939851522</v>
      </c>
      <c r="G137" s="203">
        <f>(F137+G105)*Calculation!J$31</f>
        <v>3203387.1177027933</v>
      </c>
      <c r="H137" s="203">
        <f>(G137+H105)*Calculation!K$31</f>
        <v>2173188.788843153</v>
      </c>
      <c r="I137" s="203">
        <f>(H137+I105)*Calculation!L$31</f>
        <v>3620822.6287528332</v>
      </c>
      <c r="J137" s="203">
        <f>(I137+J105)*Calculation!M$31</f>
        <v>6022117.4321592655</v>
      </c>
      <c r="K137" s="203">
        <f>(J137+K105)*Calculation!N$31</f>
        <v>7188441.7348861163</v>
      </c>
      <c r="L137" s="203">
        <f>(K137+L105)*Calculation!O$31</f>
        <v>8623252.3968494423</v>
      </c>
      <c r="M137" s="203">
        <f>(L137+M105)*Calculation!P$31</f>
        <v>-2329612.2335949354</v>
      </c>
      <c r="N137" s="203">
        <f>(M137+N105)*Calculation!Q$31</f>
        <v>-2644520.4755795812</v>
      </c>
      <c r="O137" s="203">
        <f>(N137+O105)*Calculation!R$31</f>
        <v>-2644512.9382753866</v>
      </c>
      <c r="P137" s="203">
        <f>(O137+P105)*Calculation!S$31</f>
        <v>-1883516.139143114</v>
      </c>
      <c r="Q137" s="203">
        <f>(P137+Q105)*Calculation!T$31</f>
        <v>-3337187.2430382045</v>
      </c>
      <c r="R137" s="203">
        <f>(Q137+R105)*Calculation!U$31</f>
        <v>-2835735.4321823837</v>
      </c>
      <c r="S137" s="203">
        <f>(R137+S105)*Calculation!V$31</f>
        <v>-3102553.2047762866</v>
      </c>
      <c r="T137" s="203">
        <f>(S137+T105)*Calculation!W$31</f>
        <v>3850542.6174485092</v>
      </c>
      <c r="U137" s="203">
        <f>(T137+U105)*Calculation!X$31</f>
        <v>3935240.0516305901</v>
      </c>
      <c r="V137" s="203">
        <f>(U137+V105)*Calculation!Y$31</f>
        <v>10441767.039627526</v>
      </c>
      <c r="W137" s="203">
        <f>(V137+W105)*Calculation!Z$31</f>
        <v>12633784.81754636</v>
      </c>
      <c r="X137" s="203">
        <f>(W137+X105)*Calculation!AA$31</f>
        <v>12608131.161580332</v>
      </c>
      <c r="Y137" s="203">
        <f>(X137+Y105)*Calculation!AB$31</f>
        <v>12497215.729803644</v>
      </c>
      <c r="Z137" s="203">
        <f>(Y137+Z105)*Calculation!AC$31</f>
        <v>12316088.21137285</v>
      </c>
      <c r="AA137" s="203">
        <f>(Z137+AA105)*Calculation!AD$31</f>
        <v>15988727.68163137</v>
      </c>
      <c r="AB137" s="203">
        <f>(AA137+AB105)*Calculation!AE$31</f>
        <v>16773712.867609231</v>
      </c>
      <c r="AC137" s="203">
        <f>(AB137+AC105)*Calculation!AF$31</f>
        <v>16773729.139152197</v>
      </c>
      <c r="BD137" s="116"/>
      <c r="BF137" s="101"/>
    </row>
    <row r="138" spans="2:58" x14ac:dyDescent="0.25">
      <c r="B138" s="105" t="str">
        <f>$B$36</f>
        <v>Avoided REZ transmission capex</v>
      </c>
      <c r="C138" s="105"/>
      <c r="D138" s="203">
        <f>D106*Calculation!G$31</f>
        <v>0</v>
      </c>
      <c r="E138" s="203">
        <f>(D138+E106)*Calculation!H$31</f>
        <v>51.447241197338229</v>
      </c>
      <c r="F138" s="203">
        <f>(E138+F106)*Calculation!I$31</f>
        <v>53.195419102304129</v>
      </c>
      <c r="G138" s="203">
        <f>(F138+G106)*Calculation!J$31</f>
        <v>59.25136306724994</v>
      </c>
      <c r="H138" s="203">
        <f>(G138+H106)*Calculation!K$31</f>
        <v>61.203062197967661</v>
      </c>
      <c r="I138" s="203">
        <f>(H138+I106)*Calculation!L$31</f>
        <v>63.746811340649785</v>
      </c>
      <c r="J138" s="203">
        <f>(I138+J106)*Calculation!M$31</f>
        <v>67.456532061987119</v>
      </c>
      <c r="K138" s="203">
        <f>(J138+K106)*Calculation!N$31</f>
        <v>70.930742248692468</v>
      </c>
      <c r="L138" s="203">
        <f>(K138+L106)*Calculation!O$31</f>
        <v>73.523012289532943</v>
      </c>
      <c r="M138" s="203">
        <f>(L138+M106)*Calculation!P$31</f>
        <v>88.512443612998695</v>
      </c>
      <c r="N138" s="203">
        <f>(M138+N106)*Calculation!Q$31</f>
        <v>109.06884115696708</v>
      </c>
      <c r="O138" s="203">
        <f>(N138+O106)*Calculation!R$31</f>
        <v>110.35366081313005</v>
      </c>
      <c r="P138" s="203">
        <f>(O138+P106)*Calculation!S$31</f>
        <v>111.09647798249883</v>
      </c>
      <c r="Q138" s="203">
        <f>(P138+Q106)*Calculation!T$31</f>
        <v>117.99244364179276</v>
      </c>
      <c r="R138" s="203">
        <f>(Q138+R106)*Calculation!U$31</f>
        <v>125.40604445638914</v>
      </c>
      <c r="S138" s="203">
        <f>(R138+S106)*Calculation!V$31</f>
        <v>126.56204582946842</v>
      </c>
      <c r="T138" s="203">
        <f>(S138+T106)*Calculation!W$31</f>
        <v>40715613.059195295</v>
      </c>
      <c r="U138" s="203">
        <f>(T138+U106)*Calculation!X$31</f>
        <v>37539255.77137126</v>
      </c>
      <c r="V138" s="203">
        <f>(U138+V106)*Calculation!Y$31</f>
        <v>27085334.333468325</v>
      </c>
      <c r="W138" s="203">
        <f>(V138+W106)*Calculation!Z$31</f>
        <v>32309605.839064248</v>
      </c>
      <c r="X138" s="203">
        <f>(W138+X106)*Calculation!AA$31</f>
        <v>27824275.990633495</v>
      </c>
      <c r="Y138" s="203">
        <f>(X138+Y106)*Calculation!AB$31</f>
        <v>23004679.620559908</v>
      </c>
      <c r="Z138" s="203">
        <f>(Y138+Z106)*Calculation!AC$31</f>
        <v>20865504.956026271</v>
      </c>
      <c r="AA138" s="203">
        <f>(Z138+AA106)*Calculation!AD$31</f>
        <v>20865507.482055333</v>
      </c>
      <c r="AB138" s="203">
        <f>(AA138+AB106)*Calculation!AE$31</f>
        <v>18392565.022104319</v>
      </c>
      <c r="AC138" s="203">
        <f>(AB138+AC106)*Calculation!AF$31</f>
        <v>17513270.096367579</v>
      </c>
      <c r="BD138" s="116"/>
      <c r="BF138" s="101"/>
    </row>
    <row r="139" spans="2:58" x14ac:dyDescent="0.25">
      <c r="B139" s="105" t="str">
        <f>$B$37</f>
        <v>Avoided fuel costs</v>
      </c>
      <c r="C139" s="105"/>
      <c r="D139" s="203">
        <f>D107*Calculation!G$31</f>
        <v>0</v>
      </c>
      <c r="E139" s="203">
        <f>(D139+E107)*Calculation!H$31</f>
        <v>6.5379595756530762</v>
      </c>
      <c r="F139" s="203">
        <f>(E139+F107)*Calculation!I$31</f>
        <v>-14628.206388950348</v>
      </c>
      <c r="G139" s="203">
        <f>(F139+G107)*Calculation!J$31</f>
        <v>4225557.1926312447</v>
      </c>
      <c r="H139" s="203">
        <f>(G139+H107)*Calculation!K$31</f>
        <v>8137503.9365162849</v>
      </c>
      <c r="I139" s="203">
        <f>(H139+I107)*Calculation!L$31</f>
        <v>12617923.683331013</v>
      </c>
      <c r="J139" s="203">
        <f>(I139+J107)*Calculation!M$31</f>
        <v>16688464.187698364</v>
      </c>
      <c r="K139" s="203">
        <f>(J139+K107)*Calculation!N$31</f>
        <v>21814228.502618313</v>
      </c>
      <c r="L139" s="203">
        <f>(K139+L107)*Calculation!O$31</f>
        <v>27590249.361061573</v>
      </c>
      <c r="M139" s="203">
        <f>(L139+M107)*Calculation!P$31</f>
        <v>30236796.119179249</v>
      </c>
      <c r="N139" s="203">
        <f>(M139+N107)*Calculation!Q$31</f>
        <v>29069717.8747859</v>
      </c>
      <c r="O139" s="203">
        <f>(N139+O107)*Calculation!R$31</f>
        <v>26969634.364979982</v>
      </c>
      <c r="P139" s="203">
        <f>(O139+P107)*Calculation!S$31</f>
        <v>25843690.669368267</v>
      </c>
      <c r="Q139" s="203">
        <f>(P139+Q107)*Calculation!T$31</f>
        <v>27876589.606974125</v>
      </c>
      <c r="R139" s="203">
        <f>(Q139+R107)*Calculation!U$31</f>
        <v>34246166.561207056</v>
      </c>
      <c r="S139" s="203">
        <f>(R139+S107)*Calculation!V$31</f>
        <v>35927810.476198196</v>
      </c>
      <c r="T139" s="203">
        <f>(S139+T107)*Calculation!W$31</f>
        <v>37243903.460095406</v>
      </c>
      <c r="U139" s="203">
        <f>(T139+U107)*Calculation!X$31</f>
        <v>28388159.586287737</v>
      </c>
      <c r="V139" s="203">
        <f>(U139+V107)*Calculation!Y$31</f>
        <v>49784798.348467588</v>
      </c>
      <c r="W139" s="203">
        <f>(V139+W107)*Calculation!Z$31</f>
        <v>57394822.955244541</v>
      </c>
      <c r="X139" s="203">
        <f>(W139+X107)*Calculation!AA$31</f>
        <v>72838823.977520466</v>
      </c>
      <c r="Y139" s="203">
        <f>(X139+Y107)*Calculation!AB$31</f>
        <v>82789103.939407349</v>
      </c>
      <c r="Z139" s="203">
        <f>(Y139+Z107)*Calculation!AC$31</f>
        <v>99757147.475010872</v>
      </c>
      <c r="AA139" s="203">
        <f>(Z139+AA107)*Calculation!AD$31</f>
        <v>115883036.32567286</v>
      </c>
      <c r="AB139" s="203">
        <f>(AA139+AB107)*Calculation!AE$31</f>
        <v>135132977.23764205</v>
      </c>
      <c r="AC139" s="203">
        <f>(AB139+AC107)*Calculation!AF$31</f>
        <v>145639343.48609996</v>
      </c>
      <c r="BD139" s="116"/>
      <c r="BF139" s="101"/>
    </row>
    <row r="140" spans="2:58" x14ac:dyDescent="0.25">
      <c r="B140" s="105" t="str">
        <f>$B$38</f>
        <v>Avoided voluntary load curtailment</v>
      </c>
      <c r="C140" s="105"/>
      <c r="D140" s="203">
        <f>D108*Calculation!G$31</f>
        <v>0</v>
      </c>
      <c r="E140" s="203">
        <f>(D140+E108)*Calculation!H$31</f>
        <v>4.5651212384691462</v>
      </c>
      <c r="F140" s="203">
        <f>(E140+F108)*Calculation!I$31</f>
        <v>9.3694757103294251</v>
      </c>
      <c r="G140" s="203">
        <f>(F140+G108)*Calculation!J$31</f>
        <v>-6931.5838157980397</v>
      </c>
      <c r="H140" s="203">
        <f>(G140+H108)*Calculation!K$31</f>
        <v>97677.4197467349</v>
      </c>
      <c r="I140" s="203">
        <f>(H140+I108)*Calculation!L$31</f>
        <v>86676.979611755232</v>
      </c>
      <c r="J140" s="203">
        <f>(I140+J108)*Calculation!M$31</f>
        <v>108456.49472531548</v>
      </c>
      <c r="K140" s="203">
        <f>(J140+K108)*Calculation!N$31</f>
        <v>79203.624884925666</v>
      </c>
      <c r="L140" s="203">
        <f>(K140+L108)*Calculation!O$31</f>
        <v>189716.28884256317</v>
      </c>
      <c r="M140" s="203">
        <f>(L140+M108)*Calculation!P$31</f>
        <v>29638.873551474069</v>
      </c>
      <c r="N140" s="203">
        <f>(M140+N108)*Calculation!Q$31</f>
        <v>-9514.7363262205618</v>
      </c>
      <c r="O140" s="203">
        <f>(N140+O108)*Calculation!R$31</f>
        <v>-9506.8475443309344</v>
      </c>
      <c r="P140" s="203">
        <f>(O140+P108)*Calculation!S$31</f>
        <v>-21271.416852589064</v>
      </c>
      <c r="Q140" s="203">
        <f>(P140+Q108)*Calculation!T$31</f>
        <v>-208986.72360129777</v>
      </c>
      <c r="R140" s="203">
        <f>(Q140+R108)*Calculation!U$31</f>
        <v>-253521.32907999662</v>
      </c>
      <c r="S140" s="203">
        <f>(R140+S108)*Calculation!V$31</f>
        <v>-294850.16443963588</v>
      </c>
      <c r="T140" s="203">
        <f>(S140+T108)*Calculation!W$31</f>
        <v>-98837.329436678963</v>
      </c>
      <c r="U140" s="203">
        <f>(T140+U108)*Calculation!X$31</f>
        <v>-321688.69290799048</v>
      </c>
      <c r="V140" s="203">
        <f>(U140+V108)*Calculation!Y$31</f>
        <v>-126139.8032449396</v>
      </c>
      <c r="W140" s="203">
        <f>(V140+W108)*Calculation!Z$31</f>
        <v>-49909.690123712702</v>
      </c>
      <c r="X140" s="203">
        <f>(W140+X108)*Calculation!AA$31</f>
        <v>97787.09301796084</v>
      </c>
      <c r="Y140" s="203">
        <f>(X140+Y108)*Calculation!AB$31</f>
        <v>-139248.96471383801</v>
      </c>
      <c r="Z140" s="203">
        <f>(Y140+Z108)*Calculation!AC$31</f>
        <v>-153074.72560206248</v>
      </c>
      <c r="AA140" s="203">
        <f>(Z140+AA108)*Calculation!AD$31</f>
        <v>-11466.791858113429</v>
      </c>
      <c r="AB140" s="203">
        <f>(AA140+AB108)*Calculation!AE$31</f>
        <v>-1327433.2282197773</v>
      </c>
      <c r="AC140" s="203">
        <f>(AB140+AC108)*Calculation!AF$31</f>
        <v>-1320508.0788860854</v>
      </c>
      <c r="BD140" s="116"/>
      <c r="BF140" s="101"/>
    </row>
    <row r="141" spans="2:58" x14ac:dyDescent="0.25">
      <c r="B141" s="105" t="str">
        <f>$B$39</f>
        <v>Avoided generation/storage costs (excl. fuel costs)</v>
      </c>
      <c r="C141" s="105"/>
      <c r="D141" s="203">
        <f>D109*Calculation!G$31</f>
        <v>0</v>
      </c>
      <c r="E141" s="203">
        <f>(D141+E109)*Calculation!H$31</f>
        <v>1842.2788970470428</v>
      </c>
      <c r="F141" s="203">
        <f>(E141+F109)*Calculation!I$31</f>
        <v>4481.5597724914551</v>
      </c>
      <c r="G141" s="203">
        <f>(F141+G109)*Calculation!J$31</f>
        <v>125408188.1463511</v>
      </c>
      <c r="H141" s="203">
        <f>(G141+H109)*Calculation!K$31</f>
        <v>125940847.12971163</v>
      </c>
      <c r="I141" s="203">
        <f>(H141+I109)*Calculation!L$31</f>
        <v>154068768.52876222</v>
      </c>
      <c r="J141" s="203">
        <f>(I141+J109)*Calculation!M$31</f>
        <v>147008443.69730616</v>
      </c>
      <c r="K141" s="203">
        <f>(J141+K109)*Calculation!N$31</f>
        <v>147373231.91339946</v>
      </c>
      <c r="L141" s="203">
        <f>(K141+L109)*Calculation!O$31</f>
        <v>137335520.00267482</v>
      </c>
      <c r="M141" s="203">
        <f>(L141+M109)*Calculation!P$31</f>
        <v>279135761.71125293</v>
      </c>
      <c r="N141" s="203">
        <f>(M141+N109)*Calculation!Q$31</f>
        <v>292475731.16922998</v>
      </c>
      <c r="O141" s="203">
        <f>(N141+O109)*Calculation!R$31</f>
        <v>291416906.73623991</v>
      </c>
      <c r="P141" s="203">
        <f>(O141+P109)*Calculation!S$31</f>
        <v>290604905.39912307</v>
      </c>
      <c r="Q141" s="203">
        <f>(P141+Q109)*Calculation!T$31</f>
        <v>277817083.65527344</v>
      </c>
      <c r="R141" s="203">
        <f>(Q141+R109)*Calculation!U$31</f>
        <v>268395505.6650939</v>
      </c>
      <c r="S141" s="203">
        <f>(R141+S109)*Calculation!V$31</f>
        <v>267424876.74508309</v>
      </c>
      <c r="T141" s="203">
        <f>(S141+T109)*Calculation!W$31</f>
        <v>273509659.11296296</v>
      </c>
      <c r="U141" s="203">
        <f>(T141+U109)*Calculation!X$31</f>
        <v>385567867.64807439</v>
      </c>
      <c r="V141" s="203">
        <f>(U141+V109)*Calculation!Y$31</f>
        <v>194425875.14211559</v>
      </c>
      <c r="W141" s="203">
        <f>(V141+W109)*Calculation!Z$31</f>
        <v>224805266.40917754</v>
      </c>
      <c r="X141" s="203">
        <f>(W141+X109)*Calculation!AA$31</f>
        <v>214277433.41562343</v>
      </c>
      <c r="Y141" s="203">
        <f>(X141+Y109)*Calculation!AB$31</f>
        <v>244700830.00600147</v>
      </c>
      <c r="Z141" s="203">
        <f>(Y141+Z109)*Calculation!AC$31</f>
        <v>188732096.09741235</v>
      </c>
      <c r="AA141" s="203">
        <f>(Z141+AA109)*Calculation!AD$31</f>
        <v>175766589.95135021</v>
      </c>
      <c r="AB141" s="203">
        <f>(AA141+AB109)*Calculation!AE$31</f>
        <v>193381017.65286303</v>
      </c>
      <c r="AC141" s="203">
        <f>(AB141+AC109)*Calculation!AF$31</f>
        <v>198697622.41293013</v>
      </c>
      <c r="BD141" s="116"/>
      <c r="BF141" s="101"/>
    </row>
    <row r="142" spans="2:58" x14ac:dyDescent="0.25"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BD142" s="116"/>
      <c r="BF142" s="101"/>
    </row>
    <row r="143" spans="2:58" ht="13" x14ac:dyDescent="0.3">
      <c r="B143" s="104" t="str">
        <f>B111</f>
        <v>Scenario 4</v>
      </c>
      <c r="C143" s="104"/>
      <c r="D143" s="107" t="str">
        <f>Calculation!G$33</f>
        <v>2019-20</v>
      </c>
      <c r="E143" s="107" t="str">
        <f>Calculation!H$33</f>
        <v>2020-21</v>
      </c>
      <c r="F143" s="107" t="str">
        <f>Calculation!I$33</f>
        <v>2021-22</v>
      </c>
      <c r="G143" s="107" t="str">
        <f>Calculation!J$33</f>
        <v>2022-23</v>
      </c>
      <c r="H143" s="107" t="str">
        <f>Calculation!K$33</f>
        <v>2023-24</v>
      </c>
      <c r="I143" s="107" t="str">
        <f>Calculation!L$33</f>
        <v>2024-25</v>
      </c>
      <c r="J143" s="107" t="str">
        <f>Calculation!M$33</f>
        <v>2025-26</v>
      </c>
      <c r="K143" s="107" t="str">
        <f>Calculation!N$33</f>
        <v>2026-27</v>
      </c>
      <c r="L143" s="107" t="str">
        <f>Calculation!O$33</f>
        <v>2027-28</v>
      </c>
      <c r="M143" s="107" t="str">
        <f>Calculation!P$33</f>
        <v>2028-29</v>
      </c>
      <c r="N143" s="107" t="str">
        <f>Calculation!Q$33</f>
        <v>2029-30</v>
      </c>
      <c r="O143" s="107" t="str">
        <f>Calculation!R$33</f>
        <v>2030-31</v>
      </c>
      <c r="P143" s="107" t="str">
        <f>Calculation!S$33</f>
        <v>2031-32</v>
      </c>
      <c r="Q143" s="107" t="str">
        <f>Calculation!T$33</f>
        <v>2032-33</v>
      </c>
      <c r="R143" s="107" t="str">
        <f>Calculation!U$33</f>
        <v>2033-34</v>
      </c>
      <c r="S143" s="107" t="str">
        <f>Calculation!V$33</f>
        <v>2034-35</v>
      </c>
      <c r="T143" s="107" t="str">
        <f>Calculation!W$33</f>
        <v>2035-36</v>
      </c>
      <c r="U143" s="107" t="str">
        <f>Calculation!X$33</f>
        <v>2036-37</v>
      </c>
      <c r="V143" s="107" t="str">
        <f>Calculation!Y$33</f>
        <v>2037-38</v>
      </c>
      <c r="W143" s="107" t="str">
        <f>Calculation!Z$33</f>
        <v>2038-39</v>
      </c>
      <c r="X143" s="107" t="str">
        <f>Calculation!AA$33</f>
        <v>2039-40</v>
      </c>
      <c r="Y143" s="107" t="str">
        <f>Calculation!AB$33</f>
        <v>2040-41</v>
      </c>
      <c r="Z143" s="107" t="str">
        <f>Calculation!AC$33</f>
        <v>2041-42</v>
      </c>
      <c r="AA143" s="107" t="str">
        <f>Calculation!AD$33</f>
        <v>2042-43</v>
      </c>
      <c r="AB143" s="107" t="str">
        <f>Calculation!AE$33</f>
        <v>2043-44</v>
      </c>
      <c r="AC143" s="107" t="str">
        <f>Calculation!AF$33</f>
        <v>2044-45</v>
      </c>
      <c r="BD143" s="116"/>
      <c r="BF143" s="101"/>
    </row>
    <row r="144" spans="2:58" x14ac:dyDescent="0.25">
      <c r="B144" s="105" t="str">
        <f>$B$35</f>
        <v>Avoided unserved energy</v>
      </c>
      <c r="C144" s="105"/>
      <c r="D144" s="203">
        <f>D112*Calculation!G$31</f>
        <v>0</v>
      </c>
      <c r="E144" s="203">
        <f>(D144+E112)*Calculation!H$31</f>
        <v>-0.23603120818734169</v>
      </c>
      <c r="F144" s="203">
        <f>(E144+F112)*Calculation!I$31</f>
        <v>-2996610.5321815778</v>
      </c>
      <c r="G144" s="203">
        <f>(F144+G112)*Calculation!J$31</f>
        <v>-1929470.0411553029</v>
      </c>
      <c r="H144" s="203">
        <f>(G144+H112)*Calculation!K$31</f>
        <v>-7841146.4747283254</v>
      </c>
      <c r="I144" s="203">
        <f>(H144+I112)*Calculation!L$31</f>
        <v>-22740981.559376627</v>
      </c>
      <c r="J144" s="203">
        <f>(I144+J112)*Calculation!M$31</f>
        <v>-22740978.840431377</v>
      </c>
      <c r="K144" s="203">
        <f>(J144+K112)*Calculation!N$31</f>
        <v>-22740975.961231396</v>
      </c>
      <c r="L144" s="203">
        <f>(K144+L112)*Calculation!O$31</f>
        <v>-22731157.540692374</v>
      </c>
      <c r="M144" s="203">
        <f>(L144+M112)*Calculation!P$31</f>
        <v>-22731154.31010443</v>
      </c>
      <c r="N144" s="203">
        <f>(M144+N112)*Calculation!Q$31</f>
        <v>-22879154.692736227</v>
      </c>
      <c r="O144" s="203">
        <f>(N144+O112)*Calculation!R$31</f>
        <v>-20025613.675223682</v>
      </c>
      <c r="P144" s="203">
        <f>(O144+P112)*Calculation!S$31</f>
        <v>-20272354.230238337</v>
      </c>
      <c r="Q144" s="203">
        <f>(P144+Q112)*Calculation!T$31</f>
        <v>-22608321.620439772</v>
      </c>
      <c r="R144" s="203">
        <f>(Q144+R112)*Calculation!U$31</f>
        <v>-24054578.072931264</v>
      </c>
      <c r="S144" s="203">
        <f>(R144+S112)*Calculation!V$31</f>
        <v>-24015797.047505565</v>
      </c>
      <c r="T144" s="203">
        <f>(S144+T112)*Calculation!W$31</f>
        <v>-33041237.004548721</v>
      </c>
      <c r="U144" s="203">
        <f>(T144+U112)*Calculation!X$31</f>
        <v>-33041231.897056434</v>
      </c>
      <c r="V144" s="203">
        <f>(U144+V112)*Calculation!Y$31</f>
        <v>-33041226.48828958</v>
      </c>
      <c r="W144" s="203">
        <f>(V144+W112)*Calculation!Z$31</f>
        <v>-33836100.698064521</v>
      </c>
      <c r="X144" s="203">
        <f>(W144+X112)*Calculation!AA$31</f>
        <v>-40191856.338350564</v>
      </c>
      <c r="Y144" s="203">
        <f>(X144+Y112)*Calculation!AB$31</f>
        <v>-44711911.340620019</v>
      </c>
      <c r="Z144" s="203">
        <f>(Y144+Z112)*Calculation!AC$31</f>
        <v>-72708076.772216916</v>
      </c>
      <c r="AA144" s="203">
        <f>(Z144+AA112)*Calculation!AD$31</f>
        <v>-73771336.469615132</v>
      </c>
      <c r="AB144" s="203">
        <f>(AA144+AB112)*Calculation!AE$31</f>
        <v>-71200058.050508082</v>
      </c>
      <c r="AC144" s="203">
        <f>(AB144+AC112)*Calculation!AF$31</f>
        <v>-71200049.964422837</v>
      </c>
      <c r="BD144" s="116"/>
      <c r="BF144" s="101"/>
    </row>
    <row r="145" spans="2:58" x14ac:dyDescent="0.25">
      <c r="B145" s="105" t="str">
        <f>$B$36</f>
        <v>Avoided REZ transmission capex</v>
      </c>
      <c r="C145" s="105"/>
      <c r="D145" s="203">
        <f>D113*Calculation!G$31</f>
        <v>0</v>
      </c>
      <c r="E145" s="203">
        <f>(D145+E113)*Calculation!H$31</f>
        <v>25.265572588269016</v>
      </c>
      <c r="F145" s="203">
        <f>(E145+F113)*Calculation!I$31</f>
        <v>26.226136794042432</v>
      </c>
      <c r="G145" s="203">
        <f>(F145+G113)*Calculation!J$31</f>
        <v>-14053671.659254769</v>
      </c>
      <c r="H145" s="203">
        <f>(G145+H113)*Calculation!K$31</f>
        <v>9269418.7207256127</v>
      </c>
      <c r="I145" s="203">
        <f>(H145+I113)*Calculation!L$31</f>
        <v>19329063.34390308</v>
      </c>
      <c r="J145" s="203">
        <f>(I145+J113)*Calculation!M$31</f>
        <v>50216668.51043354</v>
      </c>
      <c r="K145" s="203">
        <f>(J145+K113)*Calculation!N$31</f>
        <v>49236852.546906874</v>
      </c>
      <c r="L145" s="203">
        <f>(K145+L113)*Calculation!O$31</f>
        <v>38538917.59278731</v>
      </c>
      <c r="M145" s="203">
        <f>(L145+M113)*Calculation!P$31</f>
        <v>52876430.257261559</v>
      </c>
      <c r="N145" s="203">
        <f>(M145+N113)*Calculation!Q$31</f>
        <v>42667061.038736925</v>
      </c>
      <c r="O145" s="203">
        <f>(N145+O113)*Calculation!R$31</f>
        <v>46109079.094057068</v>
      </c>
      <c r="P145" s="203">
        <f>(O145+P113)*Calculation!S$31</f>
        <v>54817134.784234509</v>
      </c>
      <c r="Q145" s="203">
        <f>(P145+Q113)*Calculation!T$31</f>
        <v>66615304.568986639</v>
      </c>
      <c r="R145" s="203">
        <f>(Q145+R113)*Calculation!U$31</f>
        <v>57692772.943116441</v>
      </c>
      <c r="S145" s="203">
        <f>(R145+S113)*Calculation!V$31</f>
        <v>57692805.832309984</v>
      </c>
      <c r="T145" s="203">
        <f>(S145+T113)*Calculation!W$31</f>
        <v>45877186.446719669</v>
      </c>
      <c r="U145" s="203">
        <f>(T145+U113)*Calculation!X$31</f>
        <v>33912266.329517864</v>
      </c>
      <c r="V145" s="203">
        <f>(U145+V113)*Calculation!Y$31</f>
        <v>29365867.2884207</v>
      </c>
      <c r="W145" s="203">
        <f>(V145+W113)*Calculation!Z$31</f>
        <v>21710397.903012253</v>
      </c>
      <c r="X145" s="203">
        <f>(W145+X113)*Calculation!AA$31</f>
        <v>37879066.798606254</v>
      </c>
      <c r="Y145" s="203">
        <f>(X145+Y113)*Calculation!AB$31</f>
        <v>49542491.188820578</v>
      </c>
      <c r="Z145" s="203">
        <f>(Y145+Z113)*Calculation!AC$31</f>
        <v>35981113.673329838</v>
      </c>
      <c r="AA145" s="203">
        <f>(Z145+AA113)*Calculation!AD$31</f>
        <v>35981113.673329838</v>
      </c>
      <c r="AB145" s="203">
        <f>(AA145+AB113)*Calculation!AE$31</f>
        <v>67000781.451851018</v>
      </c>
      <c r="AC145" s="203">
        <f>(AB145+AC113)*Calculation!AF$31</f>
        <v>61667692.939065285</v>
      </c>
      <c r="BD145" s="116"/>
      <c r="BF145" s="101"/>
    </row>
    <row r="146" spans="2:58" x14ac:dyDescent="0.25">
      <c r="B146" s="105" t="str">
        <f>$B$37</f>
        <v>Avoided fuel costs</v>
      </c>
      <c r="C146" s="105"/>
      <c r="D146" s="203">
        <f>D114*Calculation!G$31</f>
        <v>0</v>
      </c>
      <c r="E146" s="203">
        <f>(D146+E114)*Calculation!H$31</f>
        <v>9.9391613006591797</v>
      </c>
      <c r="F146" s="203">
        <f>(E146+F114)*Calculation!I$31</f>
        <v>-78610.218548774719</v>
      </c>
      <c r="G146" s="203">
        <f>(F146+G114)*Calculation!J$31</f>
        <v>8102566.8650531769</v>
      </c>
      <c r="H146" s="203">
        <f>(G146+H114)*Calculation!K$31</f>
        <v>5525703.1371779442</v>
      </c>
      <c r="I146" s="203">
        <f>(H146+I114)*Calculation!L$31</f>
        <v>650832.37019729614</v>
      </c>
      <c r="J146" s="203">
        <f>(I146+J114)*Calculation!M$31</f>
        <v>770945.08998632431</v>
      </c>
      <c r="K146" s="203">
        <f>(J146+K114)*Calculation!N$31</f>
        <v>2734914.0594086647</v>
      </c>
      <c r="L146" s="203">
        <f>(K146+L114)*Calculation!O$31</f>
        <v>296412.10570478439</v>
      </c>
      <c r="M146" s="203">
        <f>(L146+M114)*Calculation!P$31</f>
        <v>3255514.6284575462</v>
      </c>
      <c r="N146" s="203">
        <f>(M146+N114)*Calculation!Q$31</f>
        <v>5792468.6735687256</v>
      </c>
      <c r="O146" s="203">
        <f>(N146+O114)*Calculation!R$31</f>
        <v>13110313.433517218</v>
      </c>
      <c r="P146" s="203">
        <f>(O146+P114)*Calculation!S$31</f>
        <v>21954185.494627714</v>
      </c>
      <c r="Q146" s="203">
        <f>(P146+Q114)*Calculation!T$31</f>
        <v>27369958.439279795</v>
      </c>
      <c r="R146" s="203">
        <f>(Q146+R114)*Calculation!U$31</f>
        <v>39183189.184430838</v>
      </c>
      <c r="S146" s="203">
        <f>(R146+S114)*Calculation!V$31</f>
        <v>37151892.532361984</v>
      </c>
      <c r="T146" s="203">
        <f>(S146+T114)*Calculation!W$31</f>
        <v>38827427.99230957</v>
      </c>
      <c r="U146" s="203">
        <f>(T146+U114)*Calculation!X$31</f>
        <v>50063374.827037334</v>
      </c>
      <c r="V146" s="203">
        <f>(U146+V114)*Calculation!Y$31</f>
        <v>64869041.404529095</v>
      </c>
      <c r="W146" s="203">
        <f>(V146+W114)*Calculation!Z$31</f>
        <v>83628718.915961742</v>
      </c>
      <c r="X146" s="203">
        <f>(W146+X114)*Calculation!AA$31</f>
        <v>121702776.87451649</v>
      </c>
      <c r="Y146" s="203">
        <f>(X146+Y114)*Calculation!AB$31</f>
        <v>162586648.04072976</v>
      </c>
      <c r="Z146" s="203">
        <f>(Y146+Z114)*Calculation!AC$31</f>
        <v>203516953.6623919</v>
      </c>
      <c r="AA146" s="203">
        <f>(Z146+AA114)*Calculation!AD$31</f>
        <v>225740621.53310966</v>
      </c>
      <c r="AB146" s="203">
        <f>(AA146+AB114)*Calculation!AE$31</f>
        <v>282340740.1716485</v>
      </c>
      <c r="AC146" s="203">
        <f>(AB146+AC114)*Calculation!AF$31</f>
        <v>349577482.55379152</v>
      </c>
      <c r="BD146" s="116"/>
      <c r="BF146" s="101"/>
    </row>
    <row r="147" spans="2:58" x14ac:dyDescent="0.25">
      <c r="B147" s="105" t="str">
        <f>$B$38</f>
        <v>Avoided voluntary load curtailment</v>
      </c>
      <c r="C147" s="105"/>
      <c r="D147" s="203">
        <f>D115*Calculation!G$31</f>
        <v>0</v>
      </c>
      <c r="E147" s="203">
        <f>(D147+E115)*Calculation!H$31</f>
        <v>2.2579419651883654</v>
      </c>
      <c r="F147" s="203">
        <f>(E147+F115)*Calculation!I$31</f>
        <v>4.5847618952975608</v>
      </c>
      <c r="G147" s="203">
        <f>(F147+G115)*Calculation!J$31</f>
        <v>3493.1920648327214</v>
      </c>
      <c r="H147" s="203">
        <f>(G147+H115)*Calculation!K$31</f>
        <v>-28693.700774181576</v>
      </c>
      <c r="I147" s="203">
        <f>(H147+I115)*Calculation!L$31</f>
        <v>-158300.75676968478</v>
      </c>
      <c r="J147" s="203">
        <f>(I147+J115)*Calculation!M$31</f>
        <v>-158297.68186459137</v>
      </c>
      <c r="K147" s="203">
        <f>(J147+K115)*Calculation!N$31</f>
        <v>-308235.33180409926</v>
      </c>
      <c r="L147" s="203">
        <f>(K147+L115)*Calculation!O$31</f>
        <v>-312484.83077207231</v>
      </c>
      <c r="M147" s="203">
        <f>(L147+M115)*Calculation!P$31</f>
        <v>-307643.20636360254</v>
      </c>
      <c r="N147" s="203">
        <f>(M147+N115)*Calculation!Q$31</f>
        <v>-304760.0178084441</v>
      </c>
      <c r="O147" s="203">
        <f>(N147+O115)*Calculation!R$31</f>
        <v>168900.59694302827</v>
      </c>
      <c r="P147" s="203">
        <f>(O147+P115)*Calculation!S$31</f>
        <v>958135.7943602819</v>
      </c>
      <c r="Q147" s="203">
        <f>(P147+Q115)*Calculation!T$31</f>
        <v>1211557.6257029395</v>
      </c>
      <c r="R147" s="203">
        <f>(Q147+R115)*Calculation!U$31</f>
        <v>1584099.8870174766</v>
      </c>
      <c r="S147" s="203">
        <f>(R147+S115)*Calculation!V$31</f>
        <v>1800513.8443485529</v>
      </c>
      <c r="T147" s="203">
        <f>(S147+T115)*Calculation!W$31</f>
        <v>2059418.2735734277</v>
      </c>
      <c r="U147" s="203">
        <f>(T147+U115)*Calculation!X$31</f>
        <v>2241964.2717183428</v>
      </c>
      <c r="V147" s="203">
        <f>(U147+V115)*Calculation!Y$31</f>
        <v>2132119.7653746381</v>
      </c>
      <c r="W147" s="203">
        <f>(V147+W115)*Calculation!Z$31</f>
        <v>2208031.626785371</v>
      </c>
      <c r="X147" s="203">
        <f>(W147+X115)*Calculation!AA$31</f>
        <v>248121.19311038358</v>
      </c>
      <c r="Y147" s="203">
        <f>(X147+Y115)*Calculation!AB$31</f>
        <v>-49059.621135363821</v>
      </c>
      <c r="Z147" s="203">
        <f>(Y147+Z115)*Calculation!AC$31</f>
        <v>-802854.99939284893</v>
      </c>
      <c r="AA147" s="203">
        <f>(Z147+AA115)*Calculation!AD$31</f>
        <v>-1638916.0452728937</v>
      </c>
      <c r="AB147" s="203">
        <f>(AA147+AB115)*Calculation!AE$31</f>
        <v>-4526001.6395098567</v>
      </c>
      <c r="AC147" s="203">
        <f>(AB147+AC115)*Calculation!AF$31</f>
        <v>-4950827.1526191011</v>
      </c>
      <c r="BD147" s="116"/>
      <c r="BF147" s="101"/>
    </row>
    <row r="148" spans="2:58" x14ac:dyDescent="0.25">
      <c r="B148" s="105" t="str">
        <f>$B$39</f>
        <v>Avoided generation/storage costs (excl. fuel costs)</v>
      </c>
      <c r="C148" s="105"/>
      <c r="D148" s="203">
        <f>D116*Calculation!G$31</f>
        <v>0</v>
      </c>
      <c r="E148" s="203">
        <f>(D148+E116)*Calculation!H$31</f>
        <v>859.34492623806</v>
      </c>
      <c r="F148" s="203">
        <f>(E148+F116)*Calculation!I$31</f>
        <v>33895580.96387279</v>
      </c>
      <c r="G148" s="203">
        <f>(F148+G116)*Calculation!J$31</f>
        <v>193786616.27782834</v>
      </c>
      <c r="H148" s="203">
        <f>(G148+H116)*Calculation!K$31</f>
        <v>375282611.9899565</v>
      </c>
      <c r="I148" s="203">
        <f>(H148+I116)*Calculation!L$31</f>
        <v>323906231.58773768</v>
      </c>
      <c r="J148" s="203">
        <f>(I148+J116)*Calculation!M$31</f>
        <v>260115882.62369788</v>
      </c>
      <c r="K148" s="203">
        <f>(J148+K116)*Calculation!N$31</f>
        <v>225837940.95597613</v>
      </c>
      <c r="L148" s="203">
        <f>(K148+L116)*Calculation!O$31</f>
        <v>281114911.84676325</v>
      </c>
      <c r="M148" s="203">
        <f>(L148+M116)*Calculation!P$31</f>
        <v>214165577.15487158</v>
      </c>
      <c r="N148" s="203">
        <f>(M148+N116)*Calculation!Q$31</f>
        <v>180612038.55471861</v>
      </c>
      <c r="O148" s="203">
        <f>(N148+O116)*Calculation!R$31</f>
        <v>90662755.686047196</v>
      </c>
      <c r="P148" s="203">
        <f>(O148+P116)*Calculation!S$31</f>
        <v>265029992.79071105</v>
      </c>
      <c r="Q148" s="203">
        <f>(P148+Q116)*Calculation!T$31</f>
        <v>296785776.63416636</v>
      </c>
      <c r="R148" s="203">
        <f>(Q148+R116)*Calculation!U$31</f>
        <v>254456601.95920241</v>
      </c>
      <c r="S148" s="203">
        <f>(R148+S116)*Calculation!V$31</f>
        <v>341353754.91420233</v>
      </c>
      <c r="T148" s="203">
        <f>(S148+T116)*Calculation!W$31</f>
        <v>505931195.44523871</v>
      </c>
      <c r="U148" s="203">
        <f>(T148+U116)*Calculation!X$31</f>
        <v>404104142.11402285</v>
      </c>
      <c r="V148" s="203">
        <f>(U148+V116)*Calculation!Y$31</f>
        <v>388060289.99709713</v>
      </c>
      <c r="W148" s="203">
        <f>(V148+W116)*Calculation!Z$31</f>
        <v>349541825.85250461</v>
      </c>
      <c r="X148" s="203">
        <f>(W148+X116)*Calculation!AA$31</f>
        <v>512467511.11774623</v>
      </c>
      <c r="Y148" s="203">
        <f>(X148+Y116)*Calculation!AB$31</f>
        <v>530919918.66254127</v>
      </c>
      <c r="Z148" s="203">
        <f>(Y148+Z116)*Calculation!AC$31</f>
        <v>670435660.55239236</v>
      </c>
      <c r="AA148" s="203">
        <f>(Z148+AA116)*Calculation!AD$31</f>
        <v>656779899.85391104</v>
      </c>
      <c r="AB148" s="203">
        <f>(AA148+AB116)*Calculation!AE$31</f>
        <v>627842369.19544089</v>
      </c>
      <c r="AC148" s="203">
        <f>(AB148+AC116)*Calculation!AF$31</f>
        <v>648135425.95958364</v>
      </c>
      <c r="BD148" s="116"/>
      <c r="BF148" s="101"/>
    </row>
    <row r="149" spans="2:58" x14ac:dyDescent="0.25"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BD149" s="116"/>
      <c r="BF149" s="101"/>
    </row>
    <row r="150" spans="2:58" x14ac:dyDescent="0.25">
      <c r="U150" s="101"/>
      <c r="X150" s="101"/>
      <c r="Y150" s="101"/>
      <c r="Z150" s="101"/>
      <c r="AA150" s="101"/>
      <c r="AB150" s="101"/>
      <c r="AC150" s="101"/>
      <c r="BD150" s="116"/>
      <c r="BF150" s="101"/>
    </row>
    <row r="151" spans="2:58" ht="13" x14ac:dyDescent="0.3">
      <c r="B151" s="103" t="s">
        <v>107</v>
      </c>
      <c r="C151" s="103"/>
      <c r="D151" s="103"/>
      <c r="E151" s="164" t="str">
        <f>$E$89</f>
        <v>Option 1A</v>
      </c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BD151" s="116"/>
      <c r="BF151" s="101"/>
    </row>
    <row r="152" spans="2:58" ht="13" x14ac:dyDescent="0.3">
      <c r="B152" s="104" t="s">
        <v>102</v>
      </c>
      <c r="C152" s="104"/>
      <c r="D152" s="118">
        <f>Calculation!G35</f>
        <v>1</v>
      </c>
      <c r="E152" s="118">
        <f>Calculation!H35</f>
        <v>0.94428706326723333</v>
      </c>
      <c r="F152" s="118">
        <f>Calculation!I35</f>
        <v>0.89167805785385579</v>
      </c>
      <c r="G152" s="118">
        <f>Calculation!J35</f>
        <v>0.84200005463064764</v>
      </c>
      <c r="H152" s="118">
        <f>Calculation!K35</f>
        <v>0.79508975885802413</v>
      </c>
      <c r="I152" s="118">
        <f>Calculation!L35</f>
        <v>0.75079297342589635</v>
      </c>
      <c r="J152" s="118">
        <f>Calculation!M35</f>
        <v>0.70896409199801358</v>
      </c>
      <c r="K152" s="118">
        <f>Calculation!N35</f>
        <v>0.66946562039472479</v>
      </c>
      <c r="L152" s="118">
        <f>Calculation!O35</f>
        <v>0.63216772464091109</v>
      </c>
      <c r="M152" s="118">
        <f>Calculation!P35</f>
        <v>0.59694780419349491</v>
      </c>
      <c r="N152" s="118">
        <f>Calculation!Q35</f>
        <v>0.56369008894569872</v>
      </c>
      <c r="O152" s="118">
        <f>Calculation!R35</f>
        <v>0.53228525868337928</v>
      </c>
      <c r="P152" s="118">
        <f>Calculation!S35</f>
        <v>0.50263008374256779</v>
      </c>
      <c r="Q152" s="118">
        <f>Calculation!T35</f>
        <v>0.47462708568703288</v>
      </c>
      <c r="R152" s="118">
        <f>Calculation!U35</f>
        <v>0.44818421689049381</v>
      </c>
      <c r="S152" s="118">
        <f>Calculation!V35</f>
        <v>0.42321455797024909</v>
      </c>
      <c r="T152" s="118">
        <f>Calculation!W35</f>
        <v>0.39963603207766679</v>
      </c>
      <c r="U152" s="118">
        <f>Calculation!X35</f>
        <v>0.37737113510638981</v>
      </c>
      <c r="V152" s="118">
        <f>Calculation!Y35</f>
        <v>0.35634668093143512</v>
      </c>
      <c r="W152" s="118">
        <f>Calculation!Z35</f>
        <v>0.33649356084177068</v>
      </c>
      <c r="X152" s="118">
        <f>Calculation!AA35</f>
        <v>0.31774651637560969</v>
      </c>
      <c r="Y152" s="118">
        <f>Calculation!AB35</f>
        <v>0.30004392481171832</v>
      </c>
      <c r="Z152" s="118">
        <f>Calculation!AC35</f>
        <v>0.28332759661163209</v>
      </c>
      <c r="AA152" s="118">
        <f>Calculation!AD35</f>
        <v>0.2675425841469613</v>
      </c>
      <c r="AB152" s="118">
        <f>Calculation!AE35</f>
        <v>0.25263700108306075</v>
      </c>
      <c r="AC152" s="118">
        <f>Calculation!AF35</f>
        <v>0.2385618518253643</v>
      </c>
      <c r="BD152" s="116"/>
      <c r="BF152" s="101"/>
    </row>
    <row r="153" spans="2:58" x14ac:dyDescent="0.25">
      <c r="U153" s="101"/>
      <c r="X153" s="101"/>
      <c r="Y153" s="101"/>
      <c r="Z153" s="101"/>
      <c r="AA153" s="101"/>
      <c r="AB153" s="101"/>
      <c r="AC153" s="101"/>
      <c r="BD153" s="116"/>
      <c r="BF153" s="101"/>
    </row>
    <row r="154" spans="2:58" ht="13" x14ac:dyDescent="0.3">
      <c r="B154" s="104" t="str">
        <f>B90</f>
        <v>Scenario 1</v>
      </c>
      <c r="C154" s="104"/>
      <c r="D154" s="107" t="str">
        <f>Calculation!G$33</f>
        <v>2019-20</v>
      </c>
      <c r="E154" s="107" t="str">
        <f>Calculation!H$33</f>
        <v>2020-21</v>
      </c>
      <c r="F154" s="107" t="str">
        <f>Calculation!I$33</f>
        <v>2021-22</v>
      </c>
      <c r="G154" s="107" t="str">
        <f>Calculation!J$33</f>
        <v>2022-23</v>
      </c>
      <c r="H154" s="107" t="str">
        <f>Calculation!K$33</f>
        <v>2023-24</v>
      </c>
      <c r="I154" s="107" t="str">
        <f>Calculation!L$33</f>
        <v>2024-25</v>
      </c>
      <c r="J154" s="107" t="str">
        <f>Calculation!M$33</f>
        <v>2025-26</v>
      </c>
      <c r="K154" s="107" t="str">
        <f>Calculation!N$33</f>
        <v>2026-27</v>
      </c>
      <c r="L154" s="107" t="str">
        <f>Calculation!O$33</f>
        <v>2027-28</v>
      </c>
      <c r="M154" s="107" t="str">
        <f>Calculation!P$33</f>
        <v>2028-29</v>
      </c>
      <c r="N154" s="107" t="str">
        <f>Calculation!Q$33</f>
        <v>2029-30</v>
      </c>
      <c r="O154" s="107" t="str">
        <f>Calculation!R$33</f>
        <v>2030-31</v>
      </c>
      <c r="P154" s="107" t="str">
        <f>Calculation!S$33</f>
        <v>2031-32</v>
      </c>
      <c r="Q154" s="107" t="str">
        <f>Calculation!T$33</f>
        <v>2032-33</v>
      </c>
      <c r="R154" s="107" t="str">
        <f>Calculation!U$33</f>
        <v>2033-34</v>
      </c>
      <c r="S154" s="107" t="str">
        <f>Calculation!V$33</f>
        <v>2034-35</v>
      </c>
      <c r="T154" s="107" t="str">
        <f>Calculation!W$33</f>
        <v>2035-36</v>
      </c>
      <c r="U154" s="107" t="str">
        <f>Calculation!X$33</f>
        <v>2036-37</v>
      </c>
      <c r="V154" s="107" t="str">
        <f>Calculation!Y$33</f>
        <v>2037-38</v>
      </c>
      <c r="W154" s="107" t="str">
        <f>Calculation!Z$33</f>
        <v>2038-39</v>
      </c>
      <c r="X154" s="107" t="str">
        <f>Calculation!AA$33</f>
        <v>2039-40</v>
      </c>
      <c r="Y154" s="107" t="str">
        <f>Calculation!AB$33</f>
        <v>2040-41</v>
      </c>
      <c r="Z154" s="107" t="str">
        <f>Calculation!AC$33</f>
        <v>2041-42</v>
      </c>
      <c r="AA154" s="107" t="str">
        <f>Calculation!AD$33</f>
        <v>2042-43</v>
      </c>
      <c r="AB154" s="107" t="str">
        <f>Calculation!AE$33</f>
        <v>2043-44</v>
      </c>
      <c r="AC154" s="107" t="str">
        <f>Calculation!AF$33</f>
        <v>2044-45</v>
      </c>
      <c r="BD154" s="116"/>
      <c r="BF154" s="101"/>
    </row>
    <row r="155" spans="2:58" x14ac:dyDescent="0.25">
      <c r="B155" s="105" t="str">
        <f>$B$35</f>
        <v>Avoided unserved energy</v>
      </c>
      <c r="C155" s="105"/>
      <c r="D155" s="203">
        <f>D91*D$152*Calculation!G$31</f>
        <v>0</v>
      </c>
      <c r="E155" s="203">
        <f>(E91*E$152+D155)*Calculation!H$31</f>
        <v>0.3660714462209525</v>
      </c>
      <c r="F155" s="203">
        <f>(F91*F$152+E155)*Calculation!I$31</f>
        <v>-0.41975873641395228</v>
      </c>
      <c r="G155" s="203">
        <f>(G91*G$152+F155)*Calculation!J$31</f>
        <v>-452235.83765746659</v>
      </c>
      <c r="H155" s="203">
        <f>(H91*H$152+G155)*Calculation!K$31</f>
        <v>7790270.7904386595</v>
      </c>
      <c r="I155" s="203">
        <f>(I91*I$152+H155)*Calculation!L$31</f>
        <v>11797671.079495747</v>
      </c>
      <c r="J155" s="203">
        <f>(J91*J$152+I155)*Calculation!M$31</f>
        <v>11797671.828889551</v>
      </c>
      <c r="K155" s="203">
        <f>(K91*K$152+J155)*Calculation!N$31</f>
        <v>11797672.57827027</v>
      </c>
      <c r="L155" s="203">
        <f>(L91*L$152+K155)*Calculation!O$31</f>
        <v>11797673.329791514</v>
      </c>
      <c r="M155" s="203">
        <f>(M91*M$152+L155)*Calculation!P$31</f>
        <v>9667456.8571427148</v>
      </c>
      <c r="N155" s="203">
        <f>(N91*N$152+M155)*Calculation!Q$31</f>
        <v>9352133.0660519432</v>
      </c>
      <c r="O155" s="203">
        <f>(O91*O$152+N155)*Calculation!R$31</f>
        <v>9782810.6629772037</v>
      </c>
      <c r="P155" s="203">
        <f>(P91*P$152+O155)*Calculation!S$31</f>
        <v>9672766.1111206226</v>
      </c>
      <c r="Q155" s="203">
        <f>(Q91*Q$152+P155)*Calculation!T$31</f>
        <v>9762197.7848929968</v>
      </c>
      <c r="R155" s="203">
        <f>(R91*R$152+Q155)*Calculation!U$31</f>
        <v>8351069.6257276377</v>
      </c>
      <c r="S155" s="203">
        <f>(S91*S$152+R155)*Calculation!V$31</f>
        <v>8788433.713907551</v>
      </c>
      <c r="T155" s="203">
        <f>(T91*T$152+S155)*Calculation!W$31</f>
        <v>9684181.7821434736</v>
      </c>
      <c r="U155" s="203">
        <f>(U91*U$152+T155)*Calculation!X$31</f>
        <v>9684182.5289230067</v>
      </c>
      <c r="V155" s="203">
        <f>(V91*V$152+U155)*Calculation!Y$31</f>
        <v>9684183.2747713942</v>
      </c>
      <c r="W155" s="203">
        <f>(W91*W$152+V155)*Calculation!Z$31</f>
        <v>9684169.2243313137</v>
      </c>
      <c r="X155" s="203">
        <f>(X91*X$152+W155)*Calculation!AA$31</f>
        <v>12235807.294923244</v>
      </c>
      <c r="Y155" s="203">
        <f>(Y91*Y$152+X155)*Calculation!AB$31</f>
        <v>8822254.0381505843</v>
      </c>
      <c r="Z155" s="203">
        <f>(Z91*Z$152+Y155)*Calculation!AC$31</f>
        <v>8057423.7042862773</v>
      </c>
      <c r="AA155" s="203">
        <f>(AA91*AA$152+Z155)*Calculation!AD$31</f>
        <v>7811708.5656812461</v>
      </c>
      <c r="AB155" s="203">
        <f>(AB91*AB$152+AA155)*Calculation!AE$31</f>
        <v>7019138.2997703003</v>
      </c>
      <c r="AC155" s="203">
        <f>(AC91*AC$152+AB155)*Calculation!AF$31</f>
        <v>7019139.0426426083</v>
      </c>
      <c r="BD155" s="116"/>
      <c r="BF155" s="101"/>
    </row>
    <row r="156" spans="2:58" x14ac:dyDescent="0.25">
      <c r="B156" s="105" t="str">
        <f>$B$36</f>
        <v>Avoided REZ transmission capex</v>
      </c>
      <c r="C156" s="105"/>
      <c r="D156" s="203">
        <f>D92*D$152*Calculation!G$31</f>
        <v>0</v>
      </c>
      <c r="E156" s="203">
        <f>(E92*E$152+D156)*Calculation!H$31</f>
        <v>8.9322189216237096</v>
      </c>
      <c r="F156" s="203">
        <f>(F92*F$152+E156)*Calculation!I$31</f>
        <v>9.6348251304907961</v>
      </c>
      <c r="G156" s="203">
        <f>(G92*G$152+F156)*Calculation!J$31</f>
        <v>10.336195159937134</v>
      </c>
      <c r="H156" s="203">
        <f>(H92*H$152+G156)*Calculation!K$31</f>
        <v>11.697169137972807</v>
      </c>
      <c r="I156" s="203">
        <f>(I92*I$152+H156)*Calculation!L$31</f>
        <v>12.594708935117206</v>
      </c>
      <c r="J156" s="203">
        <f>(J92*J$152+I156)*Calculation!M$31</f>
        <v>13.464238535296488</v>
      </c>
      <c r="K156" s="203">
        <f>(K92*K$152+J156)*Calculation!N$31</f>
        <v>14.402867368542193</v>
      </c>
      <c r="L156" s="203">
        <f>(L92*L$152+K156)*Calculation!O$31</f>
        <v>15.77589179112764</v>
      </c>
      <c r="M156" s="203">
        <f>(M92*M$152+L156)*Calculation!P$31</f>
        <v>21232076.703819759</v>
      </c>
      <c r="N156" s="203">
        <f>(N92*N$152+M156)*Calculation!Q$31</f>
        <v>21232079.068876062</v>
      </c>
      <c r="O156" s="203">
        <f>(O92*O$152+N156)*Calculation!R$31</f>
        <v>21232079.268802494</v>
      </c>
      <c r="P156" s="203">
        <f>(P92*P$152+O156)*Calculation!S$31</f>
        <v>23240121.258343238</v>
      </c>
      <c r="Q156" s="203">
        <f>(Q92*Q$152+P156)*Calculation!T$31</f>
        <v>18589813.792225178</v>
      </c>
      <c r="R156" s="203">
        <f>(R92*R$152+Q156)*Calculation!U$31</f>
        <v>22563330.627010025</v>
      </c>
      <c r="S156" s="203">
        <f>(S92*S$152+R156)*Calculation!V$31</f>
        <v>22563330.627010025</v>
      </c>
      <c r="T156" s="203">
        <f>(T92*T$152+S156)*Calculation!W$31</f>
        <v>36918145.46645315</v>
      </c>
      <c r="U156" s="203">
        <f>(U92*U$152+T156)*Calculation!X$31</f>
        <v>35867066.752262503</v>
      </c>
      <c r="V156" s="203">
        <f>(V92*V$152+U156)*Calculation!Y$31</f>
        <v>35867066.884386115</v>
      </c>
      <c r="W156" s="203">
        <f>(W92*W$152+V156)*Calculation!Z$31</f>
        <v>35867067.426495805</v>
      </c>
      <c r="X156" s="203">
        <f>(X92*X$152+W156)*Calculation!AA$31</f>
        <v>31634355.144144997</v>
      </c>
      <c r="Y156" s="203">
        <f>(Y92*Y$152+X156)*Calculation!AB$31</f>
        <v>30237822.532493401</v>
      </c>
      <c r="Z156" s="203">
        <f>(Z92*Z$152+Y156)*Calculation!AC$31</f>
        <v>30237823.479470473</v>
      </c>
      <c r="AA156" s="203">
        <f>(AA92*AA$152+Z156)*Calculation!AD$31</f>
        <v>33789516.364069037</v>
      </c>
      <c r="AB156" s="203">
        <f>(AB92*AB$152+AA156)*Calculation!AE$31</f>
        <v>24402541.361255635</v>
      </c>
      <c r="AC156" s="203">
        <f>(AC92*AC$152+AB156)*Calculation!AF$31</f>
        <v>24642371.145543527</v>
      </c>
      <c r="BD156" s="116"/>
      <c r="BF156" s="101"/>
    </row>
    <row r="157" spans="2:58" x14ac:dyDescent="0.25">
      <c r="B157" s="105" t="str">
        <f>$B$37</f>
        <v>Avoided fuel costs</v>
      </c>
      <c r="C157" s="105"/>
      <c r="D157" s="203">
        <f>D93*D$152*Calculation!G$31</f>
        <v>0</v>
      </c>
      <c r="E157" s="203">
        <f>(E93*E$152+D157)*Calculation!H$31</f>
        <v>-19.613860349141845</v>
      </c>
      <c r="F157" s="203">
        <f>(F93*F$152+E157)*Calculation!I$31</f>
        <v>34711.327239560604</v>
      </c>
      <c r="G157" s="203">
        <f>(G93*G$152+F157)*Calculation!J$31</f>
        <v>4877387.4572815299</v>
      </c>
      <c r="H157" s="203">
        <f>(H93*H$152+G157)*Calculation!K$31</f>
        <v>9982711.8485220317</v>
      </c>
      <c r="I157" s="203">
        <f>(I93*I$152+H157)*Calculation!L$31</f>
        <v>15187041.382419558</v>
      </c>
      <c r="J157" s="203">
        <f>(J93*J$152+I157)*Calculation!M$31</f>
        <v>22565277.623996492</v>
      </c>
      <c r="K157" s="203">
        <f>(K93*K$152+J157)*Calculation!N$31</f>
        <v>27669086.316538088</v>
      </c>
      <c r="L157" s="203">
        <f>(L93*L$152+K157)*Calculation!O$31</f>
        <v>33411431.494215116</v>
      </c>
      <c r="M157" s="203">
        <f>(M93*M$152+L157)*Calculation!P$31</f>
        <v>30863934.390960872</v>
      </c>
      <c r="N157" s="203">
        <f>(N93*N$152+M157)*Calculation!Q$31</f>
        <v>24546306.343359601</v>
      </c>
      <c r="O157" s="203">
        <f>(O93*O$152+N157)*Calculation!R$31</f>
        <v>17330990.187805548</v>
      </c>
      <c r="P157" s="203">
        <f>(P93*P$152+O157)*Calculation!S$31</f>
        <v>12716798.445726542</v>
      </c>
      <c r="Q157" s="203">
        <f>(Q93*Q$152+P157)*Calculation!T$31</f>
        <v>18591079.699501354</v>
      </c>
      <c r="R157" s="203">
        <f>(R93*R$152+Q157)*Calculation!U$31</f>
        <v>19545794.610888463</v>
      </c>
      <c r="S157" s="203">
        <f>(S93*S$152+R157)*Calculation!V$31</f>
        <v>11338390.587202756</v>
      </c>
      <c r="T157" s="203">
        <f>(T93*T$152+S157)*Calculation!W$31</f>
        <v>6517931.3303204663</v>
      </c>
      <c r="U157" s="203">
        <f>(U93*U$152+T157)*Calculation!X$31</f>
        <v>13718212.094429877</v>
      </c>
      <c r="V157" s="203">
        <f>(V93*V$152+U157)*Calculation!Y$31</f>
        <v>18756245.292854548</v>
      </c>
      <c r="W157" s="203">
        <f>(W93*W$152+V157)*Calculation!Z$31</f>
        <v>21310713.073569786</v>
      </c>
      <c r="X157" s="203">
        <f>(X93*X$152+W157)*Calculation!AA$31</f>
        <v>25247639.426954508</v>
      </c>
      <c r="Y157" s="203">
        <f>(Y93*Y$152+X157)*Calculation!AB$31</f>
        <v>33538154.085715562</v>
      </c>
      <c r="Z157" s="203">
        <f>(Z93*Z$152+Y157)*Calculation!AC$31</f>
        <v>37016284.554843508</v>
      </c>
      <c r="AA157" s="203">
        <f>(AA93*AA$152+Z157)*Calculation!AD$31</f>
        <v>35307818.489086792</v>
      </c>
      <c r="AB157" s="203">
        <f>(AB93*AB$152+AA157)*Calculation!AE$31</f>
        <v>49043033.478706181</v>
      </c>
      <c r="AC157" s="203">
        <f>(AC93*AC$152+AB157)*Calculation!AF$31</f>
        <v>59922202.611510172</v>
      </c>
      <c r="BD157" s="116"/>
      <c r="BF157" s="101"/>
    </row>
    <row r="158" spans="2:58" x14ac:dyDescent="0.25">
      <c r="B158" s="105" t="str">
        <f>$B$38</f>
        <v>Avoided voluntary load curtailment</v>
      </c>
      <c r="C158" s="105"/>
      <c r="D158" s="203">
        <f>D94*D$152*Calculation!G$31</f>
        <v>0</v>
      </c>
      <c r="E158" s="203">
        <f>(E94*E$152+D158)*Calculation!H$31</f>
        <v>2.3777149824339396</v>
      </c>
      <c r="F158" s="203">
        <f>(F94*F$152+E158)*Calculation!I$31</f>
        <v>4.7760094045799999</v>
      </c>
      <c r="G158" s="203">
        <f>(G94*G$152+F158)*Calculation!J$31</f>
        <v>132310.34253837384</v>
      </c>
      <c r="H158" s="203">
        <f>(H94*H$152+G158)*Calculation!K$31</f>
        <v>271384.61803724128</v>
      </c>
      <c r="I158" s="203">
        <f>(I94*I$152+H158)*Calculation!L$31</f>
        <v>295946.08828025777</v>
      </c>
      <c r="J158" s="203">
        <f>(J94*J$152+I158)*Calculation!M$31</f>
        <v>295948.52883931895</v>
      </c>
      <c r="K158" s="203">
        <f>(K94*K$152+J158)*Calculation!N$31</f>
        <v>297912.35151952313</v>
      </c>
      <c r="L158" s="203">
        <f>(L94*L$152+K158)*Calculation!O$31</f>
        <v>298908.17245068308</v>
      </c>
      <c r="M158" s="203">
        <f>(M94*M$152+L158)*Calculation!P$31</f>
        <v>326468.69385533652</v>
      </c>
      <c r="N158" s="203">
        <f>(N94*N$152+M158)*Calculation!Q$31</f>
        <v>330423.76001711882</v>
      </c>
      <c r="O158" s="203">
        <f>(O94*O$152+N158)*Calculation!R$31</f>
        <v>322804.23889628943</v>
      </c>
      <c r="P158" s="203">
        <f>(P94*P$152+O158)*Calculation!S$31</f>
        <v>330859.50308088248</v>
      </c>
      <c r="Q158" s="203">
        <f>(Q94*Q$152+P158)*Calculation!T$31</f>
        <v>704003.31943014264</v>
      </c>
      <c r="R158" s="203">
        <f>(R94*R$152+Q158)*Calculation!U$31</f>
        <v>892493.73277934687</v>
      </c>
      <c r="S158" s="203">
        <f>(S94*S$152+R158)*Calculation!V$31</f>
        <v>1344553.30965622</v>
      </c>
      <c r="T158" s="203">
        <f>(T94*T$152+S158)*Calculation!W$31</f>
        <v>2177059.1763452115</v>
      </c>
      <c r="U158" s="203">
        <f>(U94*U$152+T158)*Calculation!X$31</f>
        <v>2177059.189372729</v>
      </c>
      <c r="V158" s="203">
        <f>(V94*V$152+U158)*Calculation!Y$31</f>
        <v>2158733.0456239874</v>
      </c>
      <c r="W158" s="203">
        <f>(W94*W$152+V158)*Calculation!Z$31</f>
        <v>2037646.3124202637</v>
      </c>
      <c r="X158" s="203">
        <f>(X94*X$152+W158)*Calculation!AA$31</f>
        <v>3842954.8026971314</v>
      </c>
      <c r="Y158" s="203">
        <f>(Y94*Y$152+X158)*Calculation!AB$31</f>
        <v>2869146.3967527142</v>
      </c>
      <c r="Z158" s="203">
        <f>(Z94*Z$152+Y158)*Calculation!AC$31</f>
        <v>3809484.8536673444</v>
      </c>
      <c r="AA158" s="203">
        <f>(AA94*AA$152+Z158)*Calculation!AD$31</f>
        <v>3905932.0374671216</v>
      </c>
      <c r="AB158" s="203">
        <f>(AB94*AB$152+AA158)*Calculation!AE$31</f>
        <v>3883045.9164339243</v>
      </c>
      <c r="AC158" s="203">
        <f>(AC94*AC$152+AB158)*Calculation!AF$31</f>
        <v>3883048.5928084808</v>
      </c>
      <c r="BD158" s="116"/>
      <c r="BF158" s="101"/>
    </row>
    <row r="159" spans="2:58" x14ac:dyDescent="0.25">
      <c r="B159" s="105" t="str">
        <f>$B$39</f>
        <v>Avoided generation/storage costs (excl. fuel costs)</v>
      </c>
      <c r="C159" s="105"/>
      <c r="D159" s="203">
        <f>D95*D$152*Calculation!G$31</f>
        <v>0</v>
      </c>
      <c r="E159" s="203">
        <f>(E95*E$152+D159)*Calculation!H$31</f>
        <v>282.91664515271066</v>
      </c>
      <c r="F159" s="203">
        <f>(F95*F$152+E159)*Calculation!I$31</f>
        <v>8534.9983951266877</v>
      </c>
      <c r="G159" s="203">
        <f>(G95*G$152+F159)*Calculation!J$31</f>
        <v>146195223.60747162</v>
      </c>
      <c r="H159" s="203">
        <f>(H95*H$152+G159)*Calculation!K$31</f>
        <v>131445344.9422693</v>
      </c>
      <c r="I159" s="203">
        <f>(I95*I$152+H159)*Calculation!L$31</f>
        <v>131148741.79159077</v>
      </c>
      <c r="J159" s="203">
        <f>(J95*J$152+I159)*Calculation!M$31</f>
        <v>132435233.68291697</v>
      </c>
      <c r="K159" s="203">
        <f>(K95*K$152+J159)*Calculation!N$31</f>
        <v>135604770.16009396</v>
      </c>
      <c r="L159" s="203">
        <f>(L95*L$152+K159)*Calculation!O$31</f>
        <v>138850708.48442405</v>
      </c>
      <c r="M159" s="203">
        <f>(M95*M$152+L159)*Calculation!P$31</f>
        <v>273604955.87284935</v>
      </c>
      <c r="N159" s="203">
        <f>(N95*N$152+M159)*Calculation!Q$31</f>
        <v>312535571.25674367</v>
      </c>
      <c r="O159" s="203">
        <f>(O95*O$152+N159)*Calculation!R$31</f>
        <v>312116469.36824715</v>
      </c>
      <c r="P159" s="203">
        <f>(P95*P$152+O159)*Calculation!S$31</f>
        <v>340826137.95310783</v>
      </c>
      <c r="Q159" s="203">
        <f>(Q95*Q$152+P159)*Calculation!T$31</f>
        <v>220571777.91107929</v>
      </c>
      <c r="R159" s="203">
        <f>(R95*R$152+Q159)*Calculation!U$31</f>
        <v>278402167.61008108</v>
      </c>
      <c r="S159" s="203">
        <f>(S95*S$152+R159)*Calculation!V$31</f>
        <v>365948833.11033452</v>
      </c>
      <c r="T159" s="203">
        <f>(T95*T$152+S159)*Calculation!W$31</f>
        <v>390617634.68397689</v>
      </c>
      <c r="U159" s="203">
        <f>(U95*U$152+T159)*Calculation!X$31</f>
        <v>273035396.53378153</v>
      </c>
      <c r="V159" s="203">
        <f>(V95*V$152+U159)*Calculation!Y$31</f>
        <v>269397885.8706218</v>
      </c>
      <c r="W159" s="203">
        <f>(W95*W$152+V159)*Calculation!Z$31</f>
        <v>268014126.5813548</v>
      </c>
      <c r="X159" s="203">
        <f>(X95*X$152+W159)*Calculation!AA$31</f>
        <v>301521629.84840441</v>
      </c>
      <c r="Y159" s="203">
        <f>(Y95*Y$152+X159)*Calculation!AB$31</f>
        <v>276411117.57572812</v>
      </c>
      <c r="Z159" s="203">
        <f>(Z95*Z$152+Y159)*Calculation!AC$31</f>
        <v>296711828.74215418</v>
      </c>
      <c r="AA159" s="203">
        <f>(AA95*AA$152+Z159)*Calculation!AD$31</f>
        <v>303371064.93603617</v>
      </c>
      <c r="AB159" s="203">
        <f>(AB95*AB$152+AA159)*Calculation!AE$31</f>
        <v>291834022.97580492</v>
      </c>
      <c r="AC159" s="203">
        <f>(AC95*AC$152+AB159)*Calculation!AF$31</f>
        <v>292937439.87125009</v>
      </c>
      <c r="BD159" s="116"/>
      <c r="BF159" s="101"/>
    </row>
    <row r="160" spans="2:58" x14ac:dyDescent="0.25"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BD160" s="116"/>
      <c r="BF160" s="101"/>
    </row>
    <row r="161" spans="2:58" ht="13" x14ac:dyDescent="0.3">
      <c r="B161" s="104" t="str">
        <f>B97</f>
        <v>Scenario 2</v>
      </c>
      <c r="C161" s="104"/>
      <c r="D161" s="107" t="str">
        <f>Calculation!G$33</f>
        <v>2019-20</v>
      </c>
      <c r="E161" s="107" t="str">
        <f>Calculation!H$33</f>
        <v>2020-21</v>
      </c>
      <c r="F161" s="107" t="str">
        <f>Calculation!I$33</f>
        <v>2021-22</v>
      </c>
      <c r="G161" s="107" t="str">
        <f>Calculation!J$33</f>
        <v>2022-23</v>
      </c>
      <c r="H161" s="107" t="str">
        <f>Calculation!K$33</f>
        <v>2023-24</v>
      </c>
      <c r="I161" s="107" t="str">
        <f>Calculation!L$33</f>
        <v>2024-25</v>
      </c>
      <c r="J161" s="107" t="str">
        <f>Calculation!M$33</f>
        <v>2025-26</v>
      </c>
      <c r="K161" s="107" t="str">
        <f>Calculation!N$33</f>
        <v>2026-27</v>
      </c>
      <c r="L161" s="107" t="str">
        <f>Calculation!O$33</f>
        <v>2027-28</v>
      </c>
      <c r="M161" s="107" t="str">
        <f>Calculation!P$33</f>
        <v>2028-29</v>
      </c>
      <c r="N161" s="107" t="str">
        <f>Calculation!Q$33</f>
        <v>2029-30</v>
      </c>
      <c r="O161" s="107" t="str">
        <f>Calculation!R$33</f>
        <v>2030-31</v>
      </c>
      <c r="P161" s="107" t="str">
        <f>Calculation!S$33</f>
        <v>2031-32</v>
      </c>
      <c r="Q161" s="107" t="str">
        <f>Calculation!T$33</f>
        <v>2032-33</v>
      </c>
      <c r="R161" s="107" t="str">
        <f>Calculation!U$33</f>
        <v>2033-34</v>
      </c>
      <c r="S161" s="107" t="str">
        <f>Calculation!V$33</f>
        <v>2034-35</v>
      </c>
      <c r="T161" s="107" t="str">
        <f>Calculation!W$33</f>
        <v>2035-36</v>
      </c>
      <c r="U161" s="107" t="str">
        <f>Calculation!X$33</f>
        <v>2036-37</v>
      </c>
      <c r="V161" s="107" t="str">
        <f>Calculation!Y$33</f>
        <v>2037-38</v>
      </c>
      <c r="W161" s="107" t="str">
        <f>Calculation!Z$33</f>
        <v>2038-39</v>
      </c>
      <c r="X161" s="107" t="str">
        <f>Calculation!AA$33</f>
        <v>2039-40</v>
      </c>
      <c r="Y161" s="107" t="str">
        <f>Calculation!AB$33</f>
        <v>2040-41</v>
      </c>
      <c r="Z161" s="107" t="str">
        <f>Calculation!AC$33</f>
        <v>2041-42</v>
      </c>
      <c r="AA161" s="107" t="str">
        <f>Calculation!AD$33</f>
        <v>2042-43</v>
      </c>
      <c r="AB161" s="107" t="str">
        <f>Calculation!AE$33</f>
        <v>2043-44</v>
      </c>
      <c r="AC161" s="107" t="str">
        <f>Calculation!AF$33</f>
        <v>2044-45</v>
      </c>
      <c r="BD161" s="116"/>
      <c r="BF161" s="101"/>
    </row>
    <row r="162" spans="2:58" x14ac:dyDescent="0.25">
      <c r="B162" s="105" t="str">
        <f>$B$35</f>
        <v>Avoided unserved energy</v>
      </c>
      <c r="C162" s="105"/>
      <c r="D162" s="203">
        <f>D98*D$152*Calculation!G$31</f>
        <v>0</v>
      </c>
      <c r="E162" s="203">
        <f>(E98*E$152+D162)*Calculation!H$31</f>
        <v>3.6167450212464702E-2</v>
      </c>
      <c r="F162" s="203">
        <f>(F98*F$152+E162)*Calculation!I$31</f>
        <v>6.8306133888553083E-2</v>
      </c>
      <c r="G162" s="203">
        <f>(G98*G$152+F162)*Calculation!J$31</f>
        <v>-2870803.2556791268</v>
      </c>
      <c r="H162" s="203">
        <f>(H98*H$152+G162)*Calculation!K$31</f>
        <v>-2304674.1433800375</v>
      </c>
      <c r="I162" s="203">
        <f>(I98*I$152+H162)*Calculation!L$31</f>
        <v>2766472.2492095167</v>
      </c>
      <c r="J162" s="203">
        <f>(J98*J$152+I162)*Calculation!M$31</f>
        <v>2766472.2853923021</v>
      </c>
      <c r="K162" s="203">
        <f>(K98*K$152+J162)*Calculation!N$31</f>
        <v>2766472.3215713263</v>
      </c>
      <c r="L162" s="203">
        <f>(L98*L$152+K162)*Calculation!O$31</f>
        <v>2766472.3578663934</v>
      </c>
      <c r="M162" s="203">
        <f>(M98*M$152+L162)*Calculation!P$31</f>
        <v>3080950.5107482979</v>
      </c>
      <c r="N162" s="203">
        <f>(N98*N$152+M162)*Calculation!Q$31</f>
        <v>1765450.6373112141</v>
      </c>
      <c r="O162" s="203">
        <f>(O98*O$152+N162)*Calculation!R$31</f>
        <v>1734582.5863383177</v>
      </c>
      <c r="P162" s="203">
        <f>(P98*P$152+O162)*Calculation!S$31</f>
        <v>1734582.6225945973</v>
      </c>
      <c r="Q162" s="203">
        <f>(Q98*Q$152+P162)*Calculation!T$31</f>
        <v>712029.49131645425</v>
      </c>
      <c r="R162" s="203">
        <f>(R98*R$152+Q162)*Calculation!U$31</f>
        <v>-285770.7126079459</v>
      </c>
      <c r="S162" s="203">
        <f>(S98*S$152+R162)*Calculation!V$31</f>
        <v>-464417.78542717913</v>
      </c>
      <c r="T162" s="203">
        <f>(T98*T$152+S162)*Calculation!W$31</f>
        <v>-721223.32458294672</v>
      </c>
      <c r="U162" s="203">
        <f>(U98*U$152+T162)*Calculation!X$31</f>
        <v>-721223.2885857888</v>
      </c>
      <c r="V162" s="203">
        <f>(V98*V$152+U162)*Calculation!Y$31</f>
        <v>-721223.25262275396</v>
      </c>
      <c r="W162" s="203">
        <f>(W98*W$152+V162)*Calculation!Z$31</f>
        <v>-736036.58807033289</v>
      </c>
      <c r="X162" s="203">
        <f>(X98*X$152+W162)*Calculation!AA$31</f>
        <v>6746598.7761036428</v>
      </c>
      <c r="Y162" s="203">
        <f>(Y98*Y$152+X162)*Calculation!AB$31</f>
        <v>6746598.8120198799</v>
      </c>
      <c r="Z162" s="203">
        <f>(Z98*Z$152+Y162)*Calculation!AC$31</f>
        <v>7193245.2557468386</v>
      </c>
      <c r="AA162" s="203">
        <f>(AA98*AA$152+Z162)*Calculation!AD$31</f>
        <v>7178237.8938604333</v>
      </c>
      <c r="AB162" s="203">
        <f>(AB98*AB$152+AA162)*Calculation!AE$31</f>
        <v>7482011.1458391119</v>
      </c>
      <c r="AC162" s="203">
        <f>(AC98*AC$152+AB162)*Calculation!AF$31</f>
        <v>7482011.18171045</v>
      </c>
      <c r="BD162" s="116"/>
      <c r="BF162" s="101"/>
    </row>
    <row r="163" spans="2:58" x14ac:dyDescent="0.25">
      <c r="B163" s="105" t="str">
        <f>$B$36</f>
        <v>Avoided REZ transmission capex</v>
      </c>
      <c r="C163" s="105"/>
      <c r="D163" s="203">
        <f>D99*D$152*Calculation!G$31</f>
        <v>0</v>
      </c>
      <c r="E163" s="203">
        <f>(E99*E$152+D163)*Calculation!H$31</f>
        <v>0.43950615148547201</v>
      </c>
      <c r="F163" s="203">
        <f>(F99*F$152+E163)*Calculation!I$31</f>
        <v>0.46660901443362929</v>
      </c>
      <c r="G163" s="203">
        <f>(G99*G$152+F163)*Calculation!J$31</f>
        <v>12029450.527846817</v>
      </c>
      <c r="H163" s="203">
        <f>(H99*H$152+G163)*Calculation!K$31</f>
        <v>12029450.509402184</v>
      </c>
      <c r="I163" s="203">
        <f>(I99*I$152+H163)*Calculation!L$31</f>
        <v>2824731.8383748438</v>
      </c>
      <c r="J163" s="203">
        <f>(J99*J$152+I163)*Calculation!M$31</f>
        <v>16065127.078909479</v>
      </c>
      <c r="K163" s="203">
        <f>(K99*K$152+J163)*Calculation!N$31</f>
        <v>16065127.095339296</v>
      </c>
      <c r="L163" s="203">
        <f>(L99*L$152+K163)*Calculation!O$31</f>
        <v>34499286.250059925</v>
      </c>
      <c r="M163" s="203">
        <f>(M99*M$152+L163)*Calculation!P$31</f>
        <v>31654526.862807784</v>
      </c>
      <c r="N163" s="203">
        <f>(N99*N$152+M163)*Calculation!Q$31</f>
        <v>29061367.339399226</v>
      </c>
      <c r="O163" s="203">
        <f>(O99*O$152+N163)*Calculation!R$31</f>
        <v>26550022.976223763</v>
      </c>
      <c r="P163" s="203">
        <f>(P99*P$152+O163)*Calculation!S$31</f>
        <v>24920461.134809818</v>
      </c>
      <c r="Q163" s="203">
        <f>(Q99*Q$152+P163)*Calculation!T$31</f>
        <v>34300257.841606431</v>
      </c>
      <c r="R163" s="203">
        <f>(R99*R$152+Q163)*Calculation!U$31</f>
        <v>32557572.915697873</v>
      </c>
      <c r="S163" s="203">
        <f>(S99*S$152+R163)*Calculation!V$31</f>
        <v>32557572.910149213</v>
      </c>
      <c r="T163" s="203">
        <f>(T99*T$152+S163)*Calculation!W$31</f>
        <v>40076200.947574168</v>
      </c>
      <c r="U163" s="203">
        <f>(U99*U$152+T163)*Calculation!X$31</f>
        <v>33234478.587103277</v>
      </c>
      <c r="V163" s="203">
        <f>(V99*V$152+U163)*Calculation!Y$31</f>
        <v>31400871.18626181</v>
      </c>
      <c r="W163" s="203">
        <f>(W99*W$152+V163)*Calculation!Z$31</f>
        <v>27485302.99735681</v>
      </c>
      <c r="X163" s="203">
        <f>(X99*X$152+W163)*Calculation!AA$31</f>
        <v>35020302.867865749</v>
      </c>
      <c r="Y163" s="203">
        <f>(Y99*Y$152+X163)*Calculation!AB$31</f>
        <v>34093652.767786659</v>
      </c>
      <c r="Z163" s="203">
        <f>(Z99*Z$152+Y163)*Calculation!AC$31</f>
        <v>35955560.551864468</v>
      </c>
      <c r="AA163" s="203">
        <f>(AA99*AA$152+Z163)*Calculation!AD$31</f>
        <v>35955560.546582729</v>
      </c>
      <c r="AB163" s="203">
        <f>(AB99*AB$152+AA163)*Calculation!AE$31</f>
        <v>36913973.165924698</v>
      </c>
      <c r="AC163" s="203">
        <f>(AC99*AC$152+AB163)*Calculation!AF$31</f>
        <v>36919004.662857041</v>
      </c>
      <c r="BD163" s="116"/>
      <c r="BF163" s="101"/>
    </row>
    <row r="164" spans="2:58" x14ac:dyDescent="0.25">
      <c r="B164" s="105" t="str">
        <f>$B$37</f>
        <v>Avoided fuel costs</v>
      </c>
      <c r="C164" s="105"/>
      <c r="D164" s="203">
        <f>D100*D$152*Calculation!G$31</f>
        <v>0</v>
      </c>
      <c r="E164" s="203">
        <f>(E100*E$152+D164)*Calculation!H$31</f>
        <v>-204.88707449663576</v>
      </c>
      <c r="F164" s="203">
        <f>(F100*F$152+E164)*Calculation!I$31</f>
        <v>-79660.993441159371</v>
      </c>
      <c r="G164" s="203">
        <f>(G100*G$152+F164)*Calculation!J$31</f>
        <v>565648.46236954699</v>
      </c>
      <c r="H164" s="203">
        <f>(H100*H$152+G164)*Calculation!K$31</f>
        <v>2316633.1300893831</v>
      </c>
      <c r="I164" s="203">
        <f>(I100*I$152+H164)*Calculation!L$31</f>
        <v>2951841.5051668566</v>
      </c>
      <c r="J164" s="203">
        <f>(J100*J$152+I164)*Calculation!M$31</f>
        <v>2780863.1959753493</v>
      </c>
      <c r="K164" s="203">
        <f>(K100*K$152+J164)*Calculation!N$31</f>
        <v>3047518.3287091795</v>
      </c>
      <c r="L164" s="203">
        <f>(L100*L$152+K164)*Calculation!O$31</f>
        <v>4606475.9763847981</v>
      </c>
      <c r="M164" s="203">
        <f>(M100*M$152+L164)*Calculation!P$31</f>
        <v>6465690.0105237542</v>
      </c>
      <c r="N164" s="203">
        <f>(N100*N$152+M164)*Calculation!Q$31</f>
        <v>7234974.9640859673</v>
      </c>
      <c r="O164" s="203">
        <f>(O100*O$152+N164)*Calculation!R$31</f>
        <v>9035414.8081246689</v>
      </c>
      <c r="P164" s="203">
        <f>(P100*P$152+O164)*Calculation!S$31</f>
        <v>13512010.969160371</v>
      </c>
      <c r="Q164" s="203">
        <f>(Q100*Q$152+P164)*Calculation!T$31</f>
        <v>17824231.49131012</v>
      </c>
      <c r="R164" s="203">
        <f>(R100*R$152+Q164)*Calculation!U$31</f>
        <v>24830824.451211277</v>
      </c>
      <c r="S164" s="203">
        <f>(S100*S$152+R164)*Calculation!V$31</f>
        <v>23425506.956017464</v>
      </c>
      <c r="T164" s="203">
        <f>(T100*T$152+S164)*Calculation!W$31</f>
        <v>25938956.187780693</v>
      </c>
      <c r="U164" s="203">
        <f>(U100*U$152+T164)*Calculation!X$31</f>
        <v>26711669.737556938</v>
      </c>
      <c r="V164" s="203">
        <f>(V100*V$152+U164)*Calculation!Y$31</f>
        <v>30094160.515457671</v>
      </c>
      <c r="W164" s="203">
        <f>(W100*W$152+V164)*Calculation!Z$31</f>
        <v>32464354.116108544</v>
      </c>
      <c r="X164" s="203">
        <f>(X100*X$152+W164)*Calculation!AA$31</f>
        <v>38027789.363068052</v>
      </c>
      <c r="Y164" s="203">
        <f>(Y100*Y$152+X164)*Calculation!AB$31</f>
        <v>42429661.301724836</v>
      </c>
      <c r="Z164" s="203">
        <f>(Z100*Z$152+Y164)*Calculation!AC$31</f>
        <v>48604898.973449931</v>
      </c>
      <c r="AA164" s="203">
        <f>(AA100*AA$152+Z164)*Calculation!AD$31</f>
        <v>54216868.690724283</v>
      </c>
      <c r="AB164" s="203">
        <f>(AB100*AB$152+AA164)*Calculation!AE$31</f>
        <v>61660230.440587848</v>
      </c>
      <c r="AC164" s="203">
        <f>(AC100*AC$152+AB164)*Calculation!AF$31</f>
        <v>67306099.426442608</v>
      </c>
      <c r="BD164" s="116"/>
      <c r="BF164" s="101"/>
    </row>
    <row r="165" spans="2:58" x14ac:dyDescent="0.25">
      <c r="B165" s="105" t="str">
        <f>$B$38</f>
        <v>Avoided voluntary load curtailment</v>
      </c>
      <c r="C165" s="105"/>
      <c r="D165" s="203">
        <f>D101*D$152*Calculation!G$31</f>
        <v>0</v>
      </c>
      <c r="E165" s="203">
        <f>(E101*E$152+D165)*Calculation!H$31</f>
        <v>0.1172790404150726</v>
      </c>
      <c r="F165" s="203">
        <f>(F101*F$152+E165)*Calculation!I$31</f>
        <v>0.23048948221336918</v>
      </c>
      <c r="G165" s="203">
        <f>(G101*G$152+F165)*Calculation!J$31</f>
        <v>275131.55023072899</v>
      </c>
      <c r="H165" s="203">
        <f>(H101*H$152+G165)*Calculation!K$31</f>
        <v>-1083.1817767613102</v>
      </c>
      <c r="I165" s="203">
        <f>(I101*I$152+H165)*Calculation!L$31</f>
        <v>-66712.905629296656</v>
      </c>
      <c r="J165" s="203">
        <f>(J101*J$152+I165)*Calculation!M$31</f>
        <v>-66712.782396665207</v>
      </c>
      <c r="K165" s="203">
        <f>(K101*K$152+J165)*Calculation!N$31</f>
        <v>-66712.660999257059</v>
      </c>
      <c r="L165" s="203">
        <f>(L101*L$152+K165)*Calculation!O$31</f>
        <v>-66712.533283718905</v>
      </c>
      <c r="M165" s="203">
        <f>(M101*M$152+L165)*Calculation!P$31</f>
        <v>-99119.838544422921</v>
      </c>
      <c r="N165" s="203">
        <f>(N101*N$152+M165)*Calculation!Q$31</f>
        <v>-106847.53131009615</v>
      </c>
      <c r="O165" s="203">
        <f>(O101*O$152+N165)*Calculation!R$31</f>
        <v>-98537.515224033486</v>
      </c>
      <c r="P165" s="203">
        <f>(P101*P$152+O165)*Calculation!S$31</f>
        <v>-80129.752057134625</v>
      </c>
      <c r="Q165" s="203">
        <f>(Q101*Q$152+P165)*Calculation!T$31</f>
        <v>-139908.28349103758</v>
      </c>
      <c r="R165" s="203">
        <f>(R101*R$152+Q165)*Calculation!U$31</f>
        <v>321701.52073008078</v>
      </c>
      <c r="S165" s="203">
        <f>(S101*S$152+R165)*Calculation!V$31</f>
        <v>1078454.704554141</v>
      </c>
      <c r="T165" s="203">
        <f>(T101*T$152+S165)*Calculation!W$31</f>
        <v>3153347.0963395797</v>
      </c>
      <c r="U165" s="203">
        <f>(U101*U$152+T165)*Calculation!X$31</f>
        <v>3153347.2281850027</v>
      </c>
      <c r="V165" s="203">
        <f>(V101*V$152+U165)*Calculation!Y$31</f>
        <v>3153347.363153792</v>
      </c>
      <c r="W165" s="203">
        <f>(W101*W$152+V165)*Calculation!Z$31</f>
        <v>3171574.1549180634</v>
      </c>
      <c r="X165" s="203">
        <f>(X101*X$152+W165)*Calculation!AA$31</f>
        <v>5726633.1466724779</v>
      </c>
      <c r="Y165" s="203">
        <f>(Y101*Y$152+X165)*Calculation!AB$31</f>
        <v>6174247.5189782567</v>
      </c>
      <c r="Z165" s="203">
        <f>(Z101*Z$152+Y165)*Calculation!AC$31</f>
        <v>10668449.063384594</v>
      </c>
      <c r="AA165" s="203">
        <f>(AA101*AA$152+Z165)*Calculation!AD$31</f>
        <v>12087165.925510276</v>
      </c>
      <c r="AB165" s="203">
        <f>(AB101*AB$152+AA165)*Calculation!AE$31</f>
        <v>19160093.986892235</v>
      </c>
      <c r="AC165" s="203">
        <f>(AC101*AC$152+AB165)*Calculation!AF$31</f>
        <v>30385143.557596274</v>
      </c>
      <c r="BD165" s="116"/>
      <c r="BF165" s="101"/>
    </row>
    <row r="166" spans="2:58" x14ac:dyDescent="0.25">
      <c r="B166" s="105" t="str">
        <f>$B$39</f>
        <v>Avoided generation/storage costs (excl. fuel costs)</v>
      </c>
      <c r="C166" s="105"/>
      <c r="D166" s="203">
        <f>D102*D$152*Calculation!G$31</f>
        <v>0</v>
      </c>
      <c r="E166" s="203">
        <f>(E102*E$152+D166)*Calculation!H$31</f>
        <v>23.670094546785439</v>
      </c>
      <c r="F166" s="203">
        <f>(F102*F$152+E166)*Calculation!I$31</f>
        <v>5117.22307678172</v>
      </c>
      <c r="G166" s="203">
        <f>(G102*G$152+F166)*Calculation!J$31</f>
        <v>202929812.51929307</v>
      </c>
      <c r="H166" s="203">
        <f>(H102*H$152+G166)*Calculation!K$31</f>
        <v>182401730.42383751</v>
      </c>
      <c r="I166" s="203">
        <f>(I102*I$152+H166)*Calculation!L$31</f>
        <v>159253014.86105269</v>
      </c>
      <c r="J166" s="203">
        <f>(J102*J$152+I166)*Calculation!M$31</f>
        <v>147915024.9943766</v>
      </c>
      <c r="K166" s="203">
        <f>(K102*K$152+J166)*Calculation!N$31</f>
        <v>157079931.87584299</v>
      </c>
      <c r="L166" s="203">
        <f>(L102*L$152+K166)*Calculation!O$31</f>
        <v>176720447.2116645</v>
      </c>
      <c r="M166" s="203">
        <f>(M102*M$152+L166)*Calculation!P$31</f>
        <v>191475875.11739835</v>
      </c>
      <c r="N166" s="203">
        <f>(N102*N$152+M166)*Calculation!Q$31</f>
        <v>208355942.48286736</v>
      </c>
      <c r="O166" s="203">
        <f>(O102*O$152+N166)*Calculation!R$31</f>
        <v>175697959.0703862</v>
      </c>
      <c r="P166" s="203">
        <f>(P102*P$152+O166)*Calculation!S$31</f>
        <v>156396570.16801053</v>
      </c>
      <c r="Q166" s="203">
        <f>(Q102*Q$152+P166)*Calculation!T$31</f>
        <v>183063510.06153724</v>
      </c>
      <c r="R166" s="203">
        <f>(R102*R$152+Q166)*Calculation!U$31</f>
        <v>168199259.41877601</v>
      </c>
      <c r="S166" s="203">
        <f>(S102*S$152+R166)*Calculation!V$31</f>
        <v>212410577.88920969</v>
      </c>
      <c r="T166" s="203">
        <f>(T102*T$152+S166)*Calculation!W$31</f>
        <v>259353706.51364797</v>
      </c>
      <c r="U166" s="203">
        <f>(U102*U$152+T166)*Calculation!X$31</f>
        <v>261300266.47443774</v>
      </c>
      <c r="V166" s="203">
        <f>(V102*V$152+U166)*Calculation!Y$31</f>
        <v>235867007.74321553</v>
      </c>
      <c r="W166" s="203">
        <f>(W102*W$152+V166)*Calculation!Z$31</f>
        <v>227896919.06478956</v>
      </c>
      <c r="X166" s="203">
        <f>(X102*X$152+W166)*Calculation!AA$31</f>
        <v>230608284.54540354</v>
      </c>
      <c r="Y166" s="203">
        <f>(Y102*Y$152+X166)*Calculation!AB$31</f>
        <v>234787464.03452447</v>
      </c>
      <c r="Z166" s="203">
        <f>(Z102*Z$152+Y166)*Calculation!AC$31</f>
        <v>233033937.02873501</v>
      </c>
      <c r="AA166" s="203">
        <f>(AA102*AA$152+Z166)*Calculation!AD$31</f>
        <v>232794465.07211617</v>
      </c>
      <c r="AB166" s="203">
        <f>(AB102*AB$152+AA166)*Calculation!AE$31</f>
        <v>252307628.365307</v>
      </c>
      <c r="AC166" s="203">
        <f>(AC102*AC$152+AB166)*Calculation!AF$31</f>
        <v>249057968.45378092</v>
      </c>
      <c r="BD166" s="116"/>
      <c r="BF166" s="101"/>
    </row>
    <row r="167" spans="2:58" x14ac:dyDescent="0.25"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BD167" s="116"/>
      <c r="BF167" s="101"/>
    </row>
    <row r="168" spans="2:58" ht="13" x14ac:dyDescent="0.3">
      <c r="B168" s="104" t="str">
        <f>B104</f>
        <v>Scenario 3</v>
      </c>
      <c r="C168" s="104"/>
      <c r="D168" s="107" t="str">
        <f>Calculation!G$33</f>
        <v>2019-20</v>
      </c>
      <c r="E168" s="107" t="str">
        <f>Calculation!H$33</f>
        <v>2020-21</v>
      </c>
      <c r="F168" s="107" t="str">
        <f>Calculation!I$33</f>
        <v>2021-22</v>
      </c>
      <c r="G168" s="107" t="str">
        <f>Calculation!J$33</f>
        <v>2022-23</v>
      </c>
      <c r="H168" s="107" t="str">
        <f>Calculation!K$33</f>
        <v>2023-24</v>
      </c>
      <c r="I168" s="107" t="str">
        <f>Calculation!L$33</f>
        <v>2024-25</v>
      </c>
      <c r="J168" s="107" t="str">
        <f>Calculation!M$33</f>
        <v>2025-26</v>
      </c>
      <c r="K168" s="107" t="str">
        <f>Calculation!N$33</f>
        <v>2026-27</v>
      </c>
      <c r="L168" s="107" t="str">
        <f>Calculation!O$33</f>
        <v>2027-28</v>
      </c>
      <c r="M168" s="107" t="str">
        <f>Calculation!P$33</f>
        <v>2028-29</v>
      </c>
      <c r="N168" s="107" t="str">
        <f>Calculation!Q$33</f>
        <v>2029-30</v>
      </c>
      <c r="O168" s="107" t="str">
        <f>Calculation!R$33</f>
        <v>2030-31</v>
      </c>
      <c r="P168" s="107" t="str">
        <f>Calculation!S$33</f>
        <v>2031-32</v>
      </c>
      <c r="Q168" s="107" t="str">
        <f>Calculation!T$33</f>
        <v>2032-33</v>
      </c>
      <c r="R168" s="107" t="str">
        <f>Calculation!U$33</f>
        <v>2033-34</v>
      </c>
      <c r="S168" s="107" t="str">
        <f>Calculation!V$33</f>
        <v>2034-35</v>
      </c>
      <c r="T168" s="107" t="str">
        <f>Calculation!W$33</f>
        <v>2035-36</v>
      </c>
      <c r="U168" s="107" t="str">
        <f>Calculation!X$33</f>
        <v>2036-37</v>
      </c>
      <c r="V168" s="107" t="str">
        <f>Calculation!Y$33</f>
        <v>2037-38</v>
      </c>
      <c r="W168" s="107" t="str">
        <f>Calculation!Z$33</f>
        <v>2038-39</v>
      </c>
      <c r="X168" s="107" t="str">
        <f>Calculation!AA$33</f>
        <v>2039-40</v>
      </c>
      <c r="Y168" s="107" t="str">
        <f>Calculation!AB$33</f>
        <v>2040-41</v>
      </c>
      <c r="Z168" s="107" t="str">
        <f>Calculation!AC$33</f>
        <v>2041-42</v>
      </c>
      <c r="AA168" s="107" t="str">
        <f>Calculation!AD$33</f>
        <v>2042-43</v>
      </c>
      <c r="AB168" s="107" t="str">
        <f>Calculation!AE$33</f>
        <v>2043-44</v>
      </c>
      <c r="AC168" s="107" t="str">
        <f>Calculation!AF$33</f>
        <v>2044-45</v>
      </c>
      <c r="BD168" s="116"/>
      <c r="BF168" s="101"/>
    </row>
    <row r="169" spans="2:58" x14ac:dyDescent="0.25">
      <c r="B169" s="105" t="str">
        <f>$B$35</f>
        <v>Avoided unserved energy</v>
      </c>
      <c r="C169" s="105"/>
      <c r="D169" s="203">
        <f>D105*D$152*Calculation!G$31</f>
        <v>0</v>
      </c>
      <c r="E169" s="203">
        <f>(E105*E$152+D169)*Calculation!H$31</f>
        <v>-20.618794902779229</v>
      </c>
      <c r="F169" s="203">
        <f>(F105*F$152+E169)*Calculation!I$31</f>
        <v>-32.527208988981599</v>
      </c>
      <c r="G169" s="203">
        <f>(G105*G$152+F169)*Calculation!J$31</f>
        <v>2697249.2311882358</v>
      </c>
      <c r="H169" s="203">
        <f>(H105*H$152+G169)*Calculation!K$31</f>
        <v>1878149.0903192849</v>
      </c>
      <c r="I169" s="203">
        <f>(I105*I$152+H169)*Calculation!L$31</f>
        <v>2965022.4054170218</v>
      </c>
      <c r="J169" s="203">
        <f>(J105*J$152+I169)*Calculation!M$31</f>
        <v>4667454.1953336112</v>
      </c>
      <c r="K169" s="203">
        <f>(K105*K$152+J169)*Calculation!N$31</f>
        <v>5448268.2182400869</v>
      </c>
      <c r="L169" s="203">
        <f>(L105*L$152+K169)*Calculation!O$31</f>
        <v>6355309.2097039614</v>
      </c>
      <c r="M169" s="203">
        <f>(M105*M$152+L169)*Calculation!P$31</f>
        <v>-182979.28106840514</v>
      </c>
      <c r="N169" s="203">
        <f>(N105*N$152+M169)*Calculation!Q$31</f>
        <v>-360489.9360024638</v>
      </c>
      <c r="O169" s="203">
        <f>(O105*O$152+N169)*Calculation!R$31</f>
        <v>-360485.92400655086</v>
      </c>
      <c r="P169" s="203">
        <f>(P105*P$152+O169)*Calculation!S$31</f>
        <v>22013.96086912934</v>
      </c>
      <c r="Q169" s="203">
        <f>(Q105*Q$152+P169)*Calculation!T$31</f>
        <v>-667937.71872004936</v>
      </c>
      <c r="R169" s="203">
        <f>(R105*R$152+Q169)*Calculation!U$31</f>
        <v>-443194.93156331329</v>
      </c>
      <c r="S169" s="203">
        <f>(S105*S$152+R169)*Calculation!V$31</f>
        <v>-556116.09725024831</v>
      </c>
      <c r="T169" s="203">
        <f>(T105*T$152+S169)*Calculation!W$31</f>
        <v>2222591.5277994713</v>
      </c>
      <c r="U169" s="203">
        <f>(U105*U$152+T169)*Calculation!X$31</f>
        <v>2254553.8946773619</v>
      </c>
      <c r="V169" s="203">
        <f>(V105*V$152+U169)*Calculation!Y$31</f>
        <v>4573133.1912408778</v>
      </c>
      <c r="W169" s="203">
        <f>(W105*W$152+V169)*Calculation!Z$31</f>
        <v>5310733.0587612521</v>
      </c>
      <c r="X169" s="203">
        <f>(X105*X$152+W169)*Calculation!AA$31</f>
        <v>5302581.6989457477</v>
      </c>
      <c r="Y169" s="203">
        <f>(Y105*Y$152+X169)*Calculation!AB$31</f>
        <v>5269302.1974732839</v>
      </c>
      <c r="Z169" s="203">
        <f>(Z105*Z$152+Y169)*Calculation!AC$31</f>
        <v>5217983.7729960578</v>
      </c>
      <c r="AA169" s="203">
        <f>(AA105*AA$152+Z169)*Calculation!AD$31</f>
        <v>6200571.2275091494</v>
      </c>
      <c r="AB169" s="203">
        <f>(AB105*AB$152+AA169)*Calculation!AE$31</f>
        <v>6398887.5307892254</v>
      </c>
      <c r="AC169" s="203">
        <f>(AC105*AC$152+AB169)*Calculation!AF$31</f>
        <v>6398891.4125586469</v>
      </c>
      <c r="BD169" s="116"/>
      <c r="BF169" s="101"/>
    </row>
    <row r="170" spans="2:58" x14ac:dyDescent="0.25">
      <c r="B170" s="105" t="str">
        <f>$B$36</f>
        <v>Avoided REZ transmission capex</v>
      </c>
      <c r="C170" s="105"/>
      <c r="D170" s="203">
        <f>D106*D$152*Calculation!G$31</f>
        <v>0</v>
      </c>
      <c r="E170" s="203">
        <f>(E106*E$152+D170)*Calculation!H$31</f>
        <v>48.580964303435536</v>
      </c>
      <c r="F170" s="203">
        <f>(F106*F$152+E170)*Calculation!I$31</f>
        <v>50.139776182518553</v>
      </c>
      <c r="G170" s="203">
        <f>(G106*G$152+F170)*Calculation!J$31</f>
        <v>55.238881331843068</v>
      </c>
      <c r="H170" s="203">
        <f>(H106*H$152+G170)*Calculation!K$31</f>
        <v>56.790657323048841</v>
      </c>
      <c r="I170" s="203">
        <f>(I106*I$152+H170)*Calculation!L$31</f>
        <v>58.700486305532728</v>
      </c>
      <c r="J170" s="203">
        <f>(J106*J$152+I170)*Calculation!M$31</f>
        <v>61.330545088301868</v>
      </c>
      <c r="K170" s="203">
        <f>(K106*K$152+J170)*Calculation!N$31</f>
        <v>63.656409366326237</v>
      </c>
      <c r="L170" s="203">
        <f>(L106*L$152+K170)*Calculation!O$31</f>
        <v>65.295158819699168</v>
      </c>
      <c r="M170" s="203">
        <f>(M106*M$152+L170)*Calculation!P$31</f>
        <v>74.243066934351233</v>
      </c>
      <c r="N170" s="203">
        <f>(N106*N$152+M170)*Calculation!Q$31</f>
        <v>85.830504494313914</v>
      </c>
      <c r="O170" s="203">
        <f>(O106*O$152+N170)*Calculation!R$31</f>
        <v>86.514395057356111</v>
      </c>
      <c r="P170" s="203">
        <f>(P106*P$152+O170)*Calculation!S$31</f>
        <v>86.887757313401352</v>
      </c>
      <c r="Q170" s="203">
        <f>(Q106*Q$152+P170)*Calculation!T$31</f>
        <v>90.160769397269888</v>
      </c>
      <c r="R170" s="203">
        <f>(R106*R$152+Q170)*Calculation!U$31</f>
        <v>93.48342827269849</v>
      </c>
      <c r="S170" s="203">
        <f>(S106*S$152+R170)*Calculation!V$31</f>
        <v>93.972664882819231</v>
      </c>
      <c r="T170" s="203">
        <f>(T106*T$152+S170)*Calculation!W$31</f>
        <v>16271469.440497518</v>
      </c>
      <c r="U170" s="203">
        <f>(U106*U$152+T170)*Calculation!X$31</f>
        <v>15072803.885287907</v>
      </c>
      <c r="V170" s="203">
        <f>(V106*V$152+U170)*Calculation!Y$31</f>
        <v>11347583.678173222</v>
      </c>
      <c r="W170" s="203">
        <f>(W106*W$152+V170)*Calculation!Z$31</f>
        <v>13105517.399895392</v>
      </c>
      <c r="X170" s="203">
        <f>(X106*X$152+W170)*Calculation!AA$31</f>
        <v>11680319.46576098</v>
      </c>
      <c r="Y170" s="203">
        <f>(Y106*Y$152+X170)*Calculation!AB$31</f>
        <v>10234228.85487579</v>
      </c>
      <c r="Z170" s="203">
        <f>(Z106*Z$152+Y170)*Calculation!AC$31</f>
        <v>9628141.6384409796</v>
      </c>
      <c r="AA170" s="203">
        <f>(AA106*AA$152+Z170)*Calculation!AD$31</f>
        <v>9628142.3142613228</v>
      </c>
      <c r="AB170" s="203">
        <f>(AB106*AB$152+AA170)*Calculation!AE$31</f>
        <v>9003385.5473283324</v>
      </c>
      <c r="AC170" s="203">
        <f>(AC106*AC$152+AB170)*Calculation!AF$31</f>
        <v>8793619.3215439301</v>
      </c>
      <c r="BD170" s="116"/>
      <c r="BF170" s="101"/>
    </row>
    <row r="171" spans="2:58" x14ac:dyDescent="0.25">
      <c r="B171" s="105" t="str">
        <f>$B$37</f>
        <v>Avoided fuel costs</v>
      </c>
      <c r="C171" s="105"/>
      <c r="D171" s="203">
        <f>D107*D$152*Calculation!G$31</f>
        <v>0</v>
      </c>
      <c r="E171" s="203">
        <f>(E107*E$152+D171)*Calculation!H$31</f>
        <v>6.1737106474533299</v>
      </c>
      <c r="F171" s="203">
        <f>(F107*F$152+E171)*Calculation!I$31</f>
        <v>-13043.306707233904</v>
      </c>
      <c r="G171" s="203">
        <f>(G107*G$152+F171)*Calculation!J$31</f>
        <v>3557193.0309118447</v>
      </c>
      <c r="H171" s="203">
        <f>(H107*H$152+G171)*Calculation!K$31</f>
        <v>6667541.8241728339</v>
      </c>
      <c r="I171" s="203">
        <f>(I107*I$152+H171)*Calculation!L$31</f>
        <v>10031409.488079965</v>
      </c>
      <c r="J171" s="203">
        <f>(J107*J$152+I171)*Calculation!M$31</f>
        <v>12917276.540699901</v>
      </c>
      <c r="K171" s="203">
        <f>(K107*K$152+J171)*Calculation!N$31</f>
        <v>16348799.527784925</v>
      </c>
      <c r="L171" s="203">
        <f>(L107*L$152+K171)*Calculation!O$31</f>
        <v>20000213.491345443</v>
      </c>
      <c r="M171" s="203">
        <f>(M107*M$152+L171)*Calculation!P$31</f>
        <v>21580063.767299201</v>
      </c>
      <c r="N171" s="203">
        <f>(N107*N$152+M171)*Calculation!Q$31</f>
        <v>20922193.327910524</v>
      </c>
      <c r="O171" s="203">
        <f>(O107*O$152+N171)*Calculation!R$31</f>
        <v>19804349.833636783</v>
      </c>
      <c r="P171" s="203">
        <f>(P107*P$152+O171)*Calculation!S$31</f>
        <v>19238416.659622051</v>
      </c>
      <c r="Q171" s="203">
        <f>(Q107*Q$152+P171)*Calculation!T$31</f>
        <v>20203285.557874184</v>
      </c>
      <c r="R171" s="203">
        <f>(R107*R$152+Q171)*Calculation!U$31</f>
        <v>23058029.417030808</v>
      </c>
      <c r="S171" s="203">
        <f>(S107*S$152+R171)*Calculation!V$31</f>
        <v>23769725.603177141</v>
      </c>
      <c r="T171" s="203">
        <f>(T107*T$152+S171)*Calculation!W$31</f>
        <v>24295683.781107079</v>
      </c>
      <c r="U171" s="203">
        <f>(U107*U$152+T171)*Calculation!X$31</f>
        <v>20953781.663236823</v>
      </c>
      <c r="V171" s="203">
        <f>(V107*V$152+U171)*Calculation!Y$31</f>
        <v>28578402.869228505</v>
      </c>
      <c r="W171" s="203">
        <f>(W107*W$152+V171)*Calculation!Z$31</f>
        <v>31139127.147256378</v>
      </c>
      <c r="X171" s="203">
        <f>(X107*X$152+W171)*Calculation!AA$31</f>
        <v>36046404.670985907</v>
      </c>
      <c r="Y171" s="203">
        <f>(Y107*Y$152+X171)*Calculation!AB$31</f>
        <v>39031925.72372584</v>
      </c>
      <c r="Z171" s="203">
        <f>(Z107*Z$152+Y171)*Calculation!AC$31</f>
        <v>43839440.71786993</v>
      </c>
      <c r="AA171" s="203">
        <f>(AA107*AA$152+Z171)*Calculation!AD$31</f>
        <v>48153802.692642711</v>
      </c>
      <c r="AB171" s="203">
        <f>(AB107*AB$152+AA171)*Calculation!AE$31</f>
        <v>53017050.035668723</v>
      </c>
      <c r="AC171" s="203">
        <f>(AC107*AC$152+AB171)*Calculation!AF$31</f>
        <v>55523468.223856345</v>
      </c>
      <c r="BD171" s="116"/>
      <c r="BF171" s="101"/>
    </row>
    <row r="172" spans="2:58" x14ac:dyDescent="0.25">
      <c r="B172" s="105" t="str">
        <f>$B$38</f>
        <v>Avoided voluntary load curtailment</v>
      </c>
      <c r="C172" s="105"/>
      <c r="D172" s="203">
        <f>D108*D$152*Calculation!G$31</f>
        <v>0</v>
      </c>
      <c r="E172" s="203">
        <f>(E108*E$152+D172)*Calculation!H$31</f>
        <v>4.3107849277329056</v>
      </c>
      <c r="F172" s="203">
        <f>(F108*F$152+E172)*Calculation!I$31</f>
        <v>8.5947223924427654</v>
      </c>
      <c r="G172" s="203">
        <f>(G108*G$152+F172)*Calculation!J$31</f>
        <v>-5835.6883282463768</v>
      </c>
      <c r="H172" s="203">
        <f>(H108*H$152+G172)*Calculation!K$31</f>
        <v>77337.859088666126</v>
      </c>
      <c r="I172" s="203">
        <f>(I108*I$152+H172)*Calculation!L$31</f>
        <v>69078.805930731178</v>
      </c>
      <c r="J172" s="203">
        <f>(J108*J$152+I172)*Calculation!M$31</f>
        <v>84519.700087373436</v>
      </c>
      <c r="K172" s="203">
        <f>(K108*K$152+J172)*Calculation!N$31</f>
        <v>64935.909431350738</v>
      </c>
      <c r="L172" s="203">
        <f>(L108*L$152+K172)*Calculation!O$31</f>
        <v>134798.44874945606</v>
      </c>
      <c r="M172" s="203">
        <f>(M108*M$152+L172)*Calculation!P$31</f>
        <v>39240.587190470236</v>
      </c>
      <c r="N172" s="203">
        <f>(N108*N$152+M172)*Calculation!Q$31</f>
        <v>17170.085355967363</v>
      </c>
      <c r="O172" s="203">
        <f>(O108*O$152+N172)*Calculation!R$31</f>
        <v>17174.28443827618</v>
      </c>
      <c r="P172" s="203">
        <f>(P108*P$152+O172)*Calculation!S$31</f>
        <v>11261.057981671154</v>
      </c>
      <c r="Q172" s="203">
        <f>(Q108*Q$152+P172)*Calculation!T$31</f>
        <v>-77833.710999315881</v>
      </c>
      <c r="R172" s="203">
        <f>(R108*R$152+Q172)*Calculation!U$31</f>
        <v>-97793.418280313621</v>
      </c>
      <c r="S172" s="203">
        <f>(S108*S$152+R172)*Calculation!V$31</f>
        <v>-115284.38306846855</v>
      </c>
      <c r="T172" s="203">
        <f>(T108*T$152+S172)*Calculation!W$31</f>
        <v>-36950.591451592452</v>
      </c>
      <c r="U172" s="203">
        <f>(U108*U$152+T172)*Calculation!X$31</f>
        <v>-121048.26344476793</v>
      </c>
      <c r="V172" s="203">
        <f>(V108*V$152+U172)*Calculation!Y$31</f>
        <v>-51365.065653512327</v>
      </c>
      <c r="W172" s="203">
        <f>(W108*W$152+V172)*Calculation!Z$31</f>
        <v>-25714.123445979705</v>
      </c>
      <c r="X172" s="203">
        <f>(X108*X$152+W172)*Calculation!AA$31</f>
        <v>21216.014877170943</v>
      </c>
      <c r="Y172" s="203">
        <f>(Y108*Y$152+X172)*Calculation!AB$31</f>
        <v>-49905.21420657503</v>
      </c>
      <c r="Z172" s="203">
        <f>(Z108*Z$152+Y172)*Calculation!AC$31</f>
        <v>-53822.433810362774</v>
      </c>
      <c r="AA172" s="203">
        <f>(AA108*AA$152+Z172)*Calculation!AD$31</f>
        <v>-15936.281280794967</v>
      </c>
      <c r="AB172" s="203">
        <f>(AB108*AB$152+AA172)*Calculation!AE$31</f>
        <v>-348398.0952891683</v>
      </c>
      <c r="AC172" s="203">
        <f>(AC108*AC$152+AB172)*Calculation!AF$31</f>
        <v>-346746.01883995556</v>
      </c>
      <c r="BD172" s="116"/>
      <c r="BF172" s="101"/>
    </row>
    <row r="173" spans="2:58" x14ac:dyDescent="0.25">
      <c r="B173" s="105" t="str">
        <f>$B$39</f>
        <v>Avoided generation/storage costs (excl. fuel costs)</v>
      </c>
      <c r="C173" s="105"/>
      <c r="D173" s="203">
        <f>D109*D$152*Calculation!G$31</f>
        <v>0</v>
      </c>
      <c r="E173" s="203">
        <f>(E109*E$152+D173)*Calculation!H$31</f>
        <v>1739.6401294117497</v>
      </c>
      <c r="F173" s="203">
        <f>(F109*F$152+E173)*Calculation!I$31</f>
        <v>4093.0289745588479</v>
      </c>
      <c r="G173" s="203">
        <f>(G109*G$152+F173)*Calculation!J$31</f>
        <v>105594020.82575946</v>
      </c>
      <c r="H173" s="203">
        <f>(H109*H$152+G173)*Calculation!K$31</f>
        <v>106017532.52839313</v>
      </c>
      <c r="I173" s="203">
        <f>(I109*I$152+H173)*Calculation!L$31</f>
        <v>127135778.27187623</v>
      </c>
      <c r="J173" s="203">
        <f>(J109*J$152+I173)*Calculation!M$31</f>
        <v>122130261.48853195</v>
      </c>
      <c r="K173" s="203">
        <f>(K109*K$152+J173)*Calculation!N$31</f>
        <v>122374474.65793154</v>
      </c>
      <c r="L173" s="203">
        <f>(L109*L$152+K173)*Calculation!O$31</f>
        <v>116028957.15872777</v>
      </c>
      <c r="M173" s="203">
        <f>(M109*M$152+L173)*Calculation!P$31</f>
        <v>200676300.08077031</v>
      </c>
      <c r="N173" s="203">
        <f>(N109*N$152+M173)*Calculation!Q$31</f>
        <v>208195908.6510703</v>
      </c>
      <c r="O173" s="203">
        <f>(O109*O$152+N173)*Calculation!R$31</f>
        <v>207632312.0138559</v>
      </c>
      <c r="P173" s="203">
        <f>(P109*P$152+O173)*Calculation!S$31</f>
        <v>207224175.7137818</v>
      </c>
      <c r="Q173" s="203">
        <f>(Q109*Q$152+P173)*Calculation!T$31</f>
        <v>201154729.14721319</v>
      </c>
      <c r="R173" s="203">
        <f>(R109*R$152+Q173)*Calculation!U$31</f>
        <v>196932126.59381187</v>
      </c>
      <c r="S173" s="203">
        <f>(S109*S$152+R173)*Calculation!V$31</f>
        <v>196521342.30447635</v>
      </c>
      <c r="T173" s="203">
        <f>(T109*T$152+S173)*Calculation!W$31</f>
        <v>198953040.586032</v>
      </c>
      <c r="U173" s="203">
        <f>(U109*U$152+T173)*Calculation!X$31</f>
        <v>241240573.93891555</v>
      </c>
      <c r="V173" s="203">
        <f>(V109*V$152+U173)*Calculation!Y$31</f>
        <v>173127759.32279587</v>
      </c>
      <c r="W173" s="203">
        <f>(W109*W$152+V173)*Calculation!Z$31</f>
        <v>183350228.86645493</v>
      </c>
      <c r="X173" s="203">
        <f>(X109*X$152+W173)*Calculation!AA$31</f>
        <v>180005046.60776889</v>
      </c>
      <c r="Y173" s="203">
        <f>(Y109*Y$152+X173)*Calculation!AB$31</f>
        <v>189133401.92684937</v>
      </c>
      <c r="Z173" s="203">
        <f>(Z109*Z$152+Y173)*Calculation!AC$31</f>
        <v>173275915.06313285</v>
      </c>
      <c r="AA173" s="203">
        <f>(AA109*AA$152+Z173)*Calculation!AD$31</f>
        <v>169807090.04404208</v>
      </c>
      <c r="AB173" s="203">
        <f>(AB109*AB$152+AA173)*Calculation!AE$31</f>
        <v>174257146.23434666</v>
      </c>
      <c r="AC173" s="203">
        <f>(AC109*AC$152+AB173)*Calculation!AF$31</f>
        <v>175525485.31133181</v>
      </c>
      <c r="BD173" s="116"/>
      <c r="BF173" s="101"/>
    </row>
    <row r="174" spans="2:58" x14ac:dyDescent="0.25"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BD174" s="116"/>
      <c r="BF174" s="101"/>
    </row>
    <row r="175" spans="2:58" ht="13" x14ac:dyDescent="0.3">
      <c r="B175" s="104" t="str">
        <f>B111</f>
        <v>Scenario 4</v>
      </c>
      <c r="C175" s="104"/>
      <c r="D175" s="107" t="str">
        <f>Calculation!G$33</f>
        <v>2019-20</v>
      </c>
      <c r="E175" s="107" t="str">
        <f>Calculation!H$33</f>
        <v>2020-21</v>
      </c>
      <c r="F175" s="107" t="str">
        <f>Calculation!I$33</f>
        <v>2021-22</v>
      </c>
      <c r="G175" s="107" t="str">
        <f>Calculation!J$33</f>
        <v>2022-23</v>
      </c>
      <c r="H175" s="107" t="str">
        <f>Calculation!K$33</f>
        <v>2023-24</v>
      </c>
      <c r="I175" s="107" t="str">
        <f>Calculation!L$33</f>
        <v>2024-25</v>
      </c>
      <c r="J175" s="107" t="str">
        <f>Calculation!M$33</f>
        <v>2025-26</v>
      </c>
      <c r="K175" s="107" t="str">
        <f>Calculation!N$33</f>
        <v>2026-27</v>
      </c>
      <c r="L175" s="107" t="str">
        <f>Calculation!O$33</f>
        <v>2027-28</v>
      </c>
      <c r="M175" s="107" t="str">
        <f>Calculation!P$33</f>
        <v>2028-29</v>
      </c>
      <c r="N175" s="107" t="str">
        <f>Calculation!Q$33</f>
        <v>2029-30</v>
      </c>
      <c r="O175" s="107" t="str">
        <f>Calculation!R$33</f>
        <v>2030-31</v>
      </c>
      <c r="P175" s="107" t="str">
        <f>Calculation!S$33</f>
        <v>2031-32</v>
      </c>
      <c r="Q175" s="107" t="str">
        <f>Calculation!T$33</f>
        <v>2032-33</v>
      </c>
      <c r="R175" s="107" t="str">
        <f>Calculation!U$33</f>
        <v>2033-34</v>
      </c>
      <c r="S175" s="107" t="str">
        <f>Calculation!V$33</f>
        <v>2034-35</v>
      </c>
      <c r="T175" s="107" t="str">
        <f>Calculation!W$33</f>
        <v>2035-36</v>
      </c>
      <c r="U175" s="107" t="str">
        <f>Calculation!X$33</f>
        <v>2036-37</v>
      </c>
      <c r="V175" s="107" t="str">
        <f>Calculation!Y$33</f>
        <v>2037-38</v>
      </c>
      <c r="W175" s="107" t="str">
        <f>Calculation!Z$33</f>
        <v>2038-39</v>
      </c>
      <c r="X175" s="107" t="str">
        <f>Calculation!AA$33</f>
        <v>2039-40</v>
      </c>
      <c r="Y175" s="107" t="str">
        <f>Calculation!AB$33</f>
        <v>2040-41</v>
      </c>
      <c r="Z175" s="107" t="str">
        <f>Calculation!AC$33</f>
        <v>2041-42</v>
      </c>
      <c r="AA175" s="107" t="str">
        <f>Calculation!AD$33</f>
        <v>2042-43</v>
      </c>
      <c r="AB175" s="107" t="str">
        <f>Calculation!AE$33</f>
        <v>2043-44</v>
      </c>
      <c r="AC175" s="107" t="str">
        <f>Calculation!AF$33</f>
        <v>2044-45</v>
      </c>
      <c r="BD175" s="116"/>
      <c r="BF175" s="101"/>
    </row>
    <row r="176" spans="2:58" x14ac:dyDescent="0.25">
      <c r="B176" s="105" t="str">
        <f>$B$35</f>
        <v>Avoided unserved energy</v>
      </c>
      <c r="C176" s="105"/>
      <c r="D176" s="203">
        <f>D112*D$152*Calculation!G$31</f>
        <v>0</v>
      </c>
      <c r="E176" s="203">
        <f>(E112*E$152+D176)*Calculation!H$31</f>
        <v>-0.22288121641864184</v>
      </c>
      <c r="F176" s="203">
        <f>(F112*F$152+E176)*Calculation!I$31</f>
        <v>-2672011.8718974455</v>
      </c>
      <c r="G176" s="203">
        <f>(G112*G$152+F176)*Calculation!J$31</f>
        <v>-1773479.5201547458</v>
      </c>
      <c r="H176" s="203">
        <f>(H112*H$152+G176)*Calculation!K$31</f>
        <v>-6473792.9101709835</v>
      </c>
      <c r="I176" s="203">
        <f>(I112*I$152+H176)*Calculation!L$31</f>
        <v>-17660484.396929577</v>
      </c>
      <c r="J176" s="203">
        <f>(J112*J$152+I176)*Calculation!M$31</f>
        <v>-17660482.469295029</v>
      </c>
      <c r="K176" s="203">
        <f>(K112*K$152+J176)*Calculation!N$31</f>
        <v>-17660480.541769627</v>
      </c>
      <c r="L176" s="203">
        <f>(L112*L$152+K176)*Calculation!O$31</f>
        <v>-17654273.653197907</v>
      </c>
      <c r="M176" s="203">
        <f>(M112*M$152+L176)*Calculation!P$31</f>
        <v>-17654271.724705528</v>
      </c>
      <c r="N176" s="203">
        <f>(N112*N$152+M176)*Calculation!Q$31</f>
        <v>-17737698.073555242</v>
      </c>
      <c r="O176" s="203">
        <f>(O112*O$152+N176)*Calculation!R$31</f>
        <v>-16218800.254884943</v>
      </c>
      <c r="P176" s="203">
        <f>(P112*P$152+O176)*Calculation!S$31</f>
        <v>-16342819.480714647</v>
      </c>
      <c r="Q176" s="203">
        <f>(Q112*Q$152+P176)*Calculation!T$31</f>
        <v>-17451532.875385899</v>
      </c>
      <c r="R176" s="203">
        <f>(R112*R$152+Q176)*Calculation!U$31</f>
        <v>-18099722.190968622</v>
      </c>
      <c r="S176" s="203">
        <f>(S112*S$152+R176)*Calculation!V$31</f>
        <v>-18083309.496435452</v>
      </c>
      <c r="T176" s="203">
        <f>(T112*T$152+S176)*Calculation!W$31</f>
        <v>-21690200.508623406</v>
      </c>
      <c r="U176" s="203">
        <f>(U112*U$152+T176)*Calculation!X$31</f>
        <v>-21690198.581203245</v>
      </c>
      <c r="V176" s="203">
        <f>(V112*V$152+U176)*Calculation!Y$31</f>
        <v>-21690196.65380713</v>
      </c>
      <c r="W176" s="203">
        <f>(W112*W$152+V176)*Calculation!Z$31</f>
        <v>-21957666.707075588</v>
      </c>
      <c r="X176" s="203">
        <f>(X112*X$152+W176)*Calculation!AA$31</f>
        <v>-23977185.920711111</v>
      </c>
      <c r="Y176" s="203">
        <f>(Y112*Y$152+X176)*Calculation!AB$31</f>
        <v>-25333400.963956878</v>
      </c>
      <c r="Z176" s="203">
        <f>(Z112*Z$152+Y176)*Calculation!AC$31</f>
        <v>-33265487.23003288</v>
      </c>
      <c r="AA176" s="203">
        <f>(AA112*AA$152+Z176)*Calculation!AD$31</f>
        <v>-33549954.477094114</v>
      </c>
      <c r="AB176" s="203">
        <f>(AB112*AB$152+AA176)*Calculation!AE$31</f>
        <v>-32900354.408341315</v>
      </c>
      <c r="AC176" s="203">
        <f>(AC112*AC$152+AB176)*Calculation!AF$31</f>
        <v>-32900352.479309846</v>
      </c>
      <c r="BD176" s="116"/>
      <c r="BF176" s="101"/>
    </row>
    <row r="177" spans="2:58" x14ac:dyDescent="0.25">
      <c r="B177" s="105" t="str">
        <f>$B$36</f>
        <v>Avoided REZ transmission capex</v>
      </c>
      <c r="C177" s="105"/>
      <c r="D177" s="203">
        <f>D113*D$152*Calculation!G$31</f>
        <v>0</v>
      </c>
      <c r="E177" s="203">
        <f>(E113*E$152+D177)*Calculation!H$31</f>
        <v>23.857953341141659</v>
      </c>
      <c r="F177" s="203">
        <f>(F113*F$152+E177)*Calculation!I$31</f>
        <v>24.714467366589631</v>
      </c>
      <c r="G177" s="203">
        <f>(G113*G$152+F177)*Calculation!J$31</f>
        <v>-11833189.672794946</v>
      </c>
      <c r="H177" s="203">
        <f>(H113*H$152+G177)*Calculation!K$31</f>
        <v>6710760.633247558</v>
      </c>
      <c r="I177" s="203">
        <f>(I113*I$152+H177)*Calculation!L$31</f>
        <v>14263471.131490801</v>
      </c>
      <c r="J177" s="203">
        <f>(J113*J$152+I177)*Calculation!M$31</f>
        <v>36161674.082373217</v>
      </c>
      <c r="K177" s="203">
        <f>(K113*K$152+J177)*Calculation!N$31</f>
        <v>35505720.980478182</v>
      </c>
      <c r="L177" s="203">
        <f>(L113*L$152+K177)*Calculation!O$31</f>
        <v>28742831.782175951</v>
      </c>
      <c r="M177" s="203">
        <f>(M113*M$152+L177)*Calculation!P$31</f>
        <v>37301578.484830275</v>
      </c>
      <c r="N177" s="203">
        <f>(N113*N$152+M177)*Calculation!Q$31</f>
        <v>31546658.241960645</v>
      </c>
      <c r="O177" s="203">
        <f>(O113*O$152+N177)*Calculation!R$31</f>
        <v>33378793.712929588</v>
      </c>
      <c r="P177" s="203">
        <f>(P113*P$152+O177)*Calculation!S$31</f>
        <v>37755724.47371842</v>
      </c>
      <c r="Q177" s="203">
        <f>(Q113*Q$152+P177)*Calculation!T$31</f>
        <v>43355455.415096134</v>
      </c>
      <c r="R177" s="203">
        <f>(R113*R$152+Q177)*Calculation!U$31</f>
        <v>39356517.565674834</v>
      </c>
      <c r="S177" s="203">
        <f>(S113*S$152+R177)*Calculation!V$31</f>
        <v>39356531.484860338</v>
      </c>
      <c r="T177" s="203">
        <f>(T113*T$152+S177)*Calculation!W$31</f>
        <v>34634584.237063065</v>
      </c>
      <c r="U177" s="203">
        <f>(U113*U$152+T177)*Calculation!X$31</f>
        <v>30119368.750977341</v>
      </c>
      <c r="V177" s="203">
        <f>(V113*V$152+U177)*Calculation!Y$31</f>
        <v>28499274.542492509</v>
      </c>
      <c r="W177" s="203">
        <f>(W113*W$152+V177)*Calculation!Z$31</f>
        <v>25923258.389081258</v>
      </c>
      <c r="X177" s="203">
        <f>(X113*X$152+W177)*Calculation!AA$31</f>
        <v>31060796.60508693</v>
      </c>
      <c r="Y177" s="203">
        <f>(Y113*Y$152+X177)*Calculation!AB$31</f>
        <v>34560336.235871561</v>
      </c>
      <c r="Z177" s="203">
        <f>(Z113*Z$152+Y177)*Calculation!AC$31</f>
        <v>30718023.737664543</v>
      </c>
      <c r="AA177" s="203">
        <f>(AA113*AA$152+Z177)*Calculation!AD$31</f>
        <v>30718023.737664543</v>
      </c>
      <c r="AB177" s="203">
        <f>(AB113*AB$152+AA177)*Calculation!AE$31</f>
        <v>38554739.579822987</v>
      </c>
      <c r="AC177" s="203">
        <f>(AC113*AC$152+AB177)*Calculation!AF$31</f>
        <v>37282468.108264245</v>
      </c>
      <c r="BD177" s="116"/>
      <c r="BF177" s="101"/>
    </row>
    <row r="178" spans="2:58" x14ac:dyDescent="0.25">
      <c r="B178" s="105" t="str">
        <f>$B$37</f>
        <v>Avoided fuel costs</v>
      </c>
      <c r="C178" s="105"/>
      <c r="D178" s="203">
        <f>D114*D$152*Calculation!G$31</f>
        <v>0</v>
      </c>
      <c r="E178" s="203">
        <f>(E114*E$152+D178)*Calculation!H$31</f>
        <v>9.3854214359387917</v>
      </c>
      <c r="F178" s="203">
        <f>(F114*F$152+E178)*Calculation!I$31</f>
        <v>-70094.484113647908</v>
      </c>
      <c r="G178" s="203">
        <f>(G114*G$152+F178)*Calculation!J$31</f>
        <v>6818457.0672221985</v>
      </c>
      <c r="H178" s="203">
        <f>(H114*H$152+G178)*Calculation!K$31</f>
        <v>4769619.1072158907</v>
      </c>
      <c r="I178" s="203">
        <f>(I114*I$152+H178)*Calculation!L$31</f>
        <v>1109600.3890075102</v>
      </c>
      <c r="J178" s="203">
        <f>(J114*J$152+I178)*Calculation!M$31</f>
        <v>1194755.9943301503</v>
      </c>
      <c r="K178" s="203">
        <f>(K114*K$152+J178)*Calculation!N$31</f>
        <v>2509565.6988804657</v>
      </c>
      <c r="L178" s="203">
        <f>(L114*L$152+K178)*Calculation!O$31</f>
        <v>968023.46727506747</v>
      </c>
      <c r="M178" s="203">
        <f>(M114*M$152+L178)*Calculation!P$31</f>
        <v>2734453.22061576</v>
      </c>
      <c r="N178" s="203">
        <f>(N114*N$152+M178)*Calculation!Q$31</f>
        <v>4164509.0719556306</v>
      </c>
      <c r="O178" s="203">
        <f>(O114*O$152+N178)*Calculation!R$31</f>
        <v>8059689.9630096257</v>
      </c>
      <c r="P178" s="203">
        <f>(P114*P$152+O178)*Calculation!S$31</f>
        <v>12504886.117694151</v>
      </c>
      <c r="Q178" s="203">
        <f>(Q114*Q$152+P178)*Calculation!T$31</f>
        <v>15075358.647157047</v>
      </c>
      <c r="R178" s="203">
        <f>(R114*R$152+Q178)*Calculation!U$31</f>
        <v>20369862.21761927</v>
      </c>
      <c r="S178" s="203">
        <f>(S114*S$152+R178)*Calculation!V$31</f>
        <v>19510187.902907502</v>
      </c>
      <c r="T178" s="203">
        <f>(T114*T$152+S178)*Calculation!W$31</f>
        <v>20179792.245726384</v>
      </c>
      <c r="U178" s="203">
        <f>(U114*U$152+T178)*Calculation!X$31</f>
        <v>24419914.256742649</v>
      </c>
      <c r="V178" s="203">
        <f>(V114*V$152+U178)*Calculation!Y$31</f>
        <v>29695864.400609318</v>
      </c>
      <c r="W178" s="203">
        <f>(W114*W$152+V178)*Calculation!Z$31</f>
        <v>36008375.086674578</v>
      </c>
      <c r="X178" s="203">
        <f>(X114*X$152+W178)*Calculation!AA$31</f>
        <v>48106274.367288411</v>
      </c>
      <c r="Y178" s="203">
        <f>(Y114*Y$152+X178)*Calculation!AB$31</f>
        <v>60373231.533495687</v>
      </c>
      <c r="Z178" s="203">
        <f>(Z114*Z$152+Y178)*Calculation!AC$31</f>
        <v>71969916.653860793</v>
      </c>
      <c r="AA178" s="203">
        <f>(AA114*AA$152+Z178)*Calculation!AD$31</f>
        <v>77915694.185216427</v>
      </c>
      <c r="AB178" s="203">
        <f>(AB114*AB$152+AA178)*Calculation!AE$31</f>
        <v>92214978.419002324</v>
      </c>
      <c r="AC178" s="203">
        <f>(AC114*AC$152+AB178)*Calculation!AF$31</f>
        <v>108255100.19239132</v>
      </c>
      <c r="BD178" s="116"/>
      <c r="BF178" s="101"/>
    </row>
    <row r="179" spans="2:58" x14ac:dyDescent="0.25">
      <c r="B179" s="105" t="str">
        <f>$B$38</f>
        <v>Avoided voluntary load curtailment</v>
      </c>
      <c r="C179" s="105"/>
      <c r="D179" s="203">
        <f>D115*D$152*Calculation!G$31</f>
        <v>0</v>
      </c>
      <c r="E179" s="203">
        <f>(E115*E$152+D179)*Calculation!H$31</f>
        <v>2.1321453873355671</v>
      </c>
      <c r="F179" s="203">
        <f>(F115*F$152+E179)*Calculation!I$31</f>
        <v>4.2069196635909787</v>
      </c>
      <c r="G179" s="203">
        <f>(G115*G$152+F179)*Calculation!J$31</f>
        <v>2941.6144593217782</v>
      </c>
      <c r="H179" s="203">
        <f>(H115*H$152+G179)*Calculation!K$31</f>
        <v>-22649.854406439161</v>
      </c>
      <c r="I179" s="203">
        <f>(I115*I$152+H179)*Calculation!L$31</f>
        <v>-119957.92135427966</v>
      </c>
      <c r="J179" s="203">
        <f>(J115*J$152+I179)*Calculation!M$31</f>
        <v>-119955.74135698214</v>
      </c>
      <c r="K179" s="203">
        <f>(K115*K$152+J179)*Calculation!N$31</f>
        <v>-220333.84319426189</v>
      </c>
      <c r="L179" s="203">
        <f>(L115*L$152+K179)*Calculation!O$31</f>
        <v>-223020.23928770932</v>
      </c>
      <c r="M179" s="203">
        <f>(M115*M$152+L179)*Calculation!P$31</f>
        <v>-220130.04222834366</v>
      </c>
      <c r="N179" s="203">
        <f>(N115*N$152+M179)*Calculation!Q$31</f>
        <v>-218504.8174152392</v>
      </c>
      <c r="O179" s="203">
        <f>(O115*O$152+N179)*Calculation!R$31</f>
        <v>33617.745435876714</v>
      </c>
      <c r="P179" s="203">
        <f>(P115*P$152+O179)*Calculation!S$31</f>
        <v>430311.09880629292</v>
      </c>
      <c r="Q179" s="203">
        <f>(Q115*Q$152+P179)*Calculation!T$31</f>
        <v>550591.96406592929</v>
      </c>
      <c r="R179" s="203">
        <f>(R115*R$152+Q179)*Calculation!U$31</f>
        <v>717559.52571179881</v>
      </c>
      <c r="S179" s="203">
        <f>(S115*S$152+R179)*Calculation!V$31</f>
        <v>809149.06300226261</v>
      </c>
      <c r="T179" s="203">
        <f>(T115*T$152+S179)*Calculation!W$31</f>
        <v>912616.60178502474</v>
      </c>
      <c r="U179" s="203">
        <f>(U115*U$152+T179)*Calculation!X$31</f>
        <v>981504.19231410022</v>
      </c>
      <c r="V179" s="203">
        <f>(V115*V$152+U179)*Calculation!Y$31</f>
        <v>942361.4670599692</v>
      </c>
      <c r="W179" s="203">
        <f>(W115*W$152+V179)*Calculation!Z$31</f>
        <v>967905.31961619365</v>
      </c>
      <c r="X179" s="203">
        <f>(X115*X$152+W179)*Calculation!AA$31</f>
        <v>345150.60690775595</v>
      </c>
      <c r="Y179" s="203">
        <f>(Y115*Y$152+X179)*Calculation!AB$31</f>
        <v>255983.30902271968</v>
      </c>
      <c r="Z179" s="203">
        <f>(Z115*Z$152+Y179)*Calculation!AC$31</f>
        <v>42412.276164070325</v>
      </c>
      <c r="AA179" s="203">
        <f>(AA115*AA$152+Z179)*Calculation!AD$31</f>
        <v>-181269.65655528803</v>
      </c>
      <c r="AB179" s="203">
        <f>(AB115*AB$152+AA179)*Calculation!AE$31</f>
        <v>-910654.30295342056</v>
      </c>
      <c r="AC179" s="203">
        <f>(AC115*AC$152+AB179)*Calculation!AF$31</f>
        <v>-1012001.4640634224</v>
      </c>
      <c r="BD179" s="116"/>
      <c r="BF179" s="101"/>
    </row>
    <row r="180" spans="2:58" x14ac:dyDescent="0.25">
      <c r="B180" s="105" t="str">
        <f>$B$39</f>
        <v>Avoided generation/storage costs (excl. fuel costs)</v>
      </c>
      <c r="C180" s="105"/>
      <c r="D180" s="203">
        <f>D116*D$152*Calculation!G$31</f>
        <v>0</v>
      </c>
      <c r="E180" s="203">
        <f>(E116*E$152+D180)*Calculation!H$31</f>
        <v>811.46829673093487</v>
      </c>
      <c r="F180" s="203">
        <f>(F116*F$152+E180)*Calculation!I$31</f>
        <v>30223991.012976091</v>
      </c>
      <c r="G180" s="203">
        <f>(G116*G$152+F180)*Calculation!J$31</f>
        <v>164852251.48227745</v>
      </c>
      <c r="H180" s="203">
        <f>(H116*H$152+G180)*Calculation!K$31</f>
        <v>309157858.94673038</v>
      </c>
      <c r="I180" s="203">
        <f>(I116*I$152+H180)*Calculation!L$31</f>
        <v>270584833.54068857</v>
      </c>
      <c r="J180" s="203">
        <f>(J116*J$152+I180)*Calculation!M$31</f>
        <v>225359766.70916167</v>
      </c>
      <c r="K180" s="203">
        <f>(K116*K$152+J180)*Calculation!N$31</f>
        <v>202411863.22472614</v>
      </c>
      <c r="L180" s="203">
        <f>(L116*L$152+K180)*Calculation!O$31</f>
        <v>237356180.13779691</v>
      </c>
      <c r="M180" s="203">
        <f>(M116*M$152+L180)*Calculation!P$31</f>
        <v>197390921.80125681</v>
      </c>
      <c r="N180" s="203">
        <f>(N116*N$152+M180)*Calculation!Q$31</f>
        <v>178477124.64329365</v>
      </c>
      <c r="O180" s="203">
        <f>(O116*O$152+N180)*Calculation!R$31</f>
        <v>130598447.34315842</v>
      </c>
      <c r="P180" s="203">
        <f>(P116*P$152+O180)*Calculation!S$31</f>
        <v>218240666.33103579</v>
      </c>
      <c r="Q180" s="203">
        <f>(Q116*Q$152+P180)*Calculation!T$31</f>
        <v>233312821.47036237</v>
      </c>
      <c r="R180" s="203">
        <f>(R116*R$152+Q180)*Calculation!U$31</f>
        <v>214341553.46704271</v>
      </c>
      <c r="S180" s="203">
        <f>(S116*S$152+R180)*Calculation!V$31</f>
        <v>251117693.64376613</v>
      </c>
      <c r="T180" s="203">
        <f>(T116*T$152+S180)*Calculation!W$31</f>
        <v>316888768.94708771</v>
      </c>
      <c r="U180" s="203">
        <f>(U116*U$152+T180)*Calculation!X$31</f>
        <v>278462178.24694788</v>
      </c>
      <c r="V180" s="203">
        <f>(V116*V$152+U180)*Calculation!Y$31</f>
        <v>272745004.7957266</v>
      </c>
      <c r="W180" s="203">
        <f>(W116*W$152+V180)*Calculation!Z$31</f>
        <v>259783789.63755658</v>
      </c>
      <c r="X180" s="203">
        <f>(X116*X$152+W180)*Calculation!AA$31</f>
        <v>311552858.55869609</v>
      </c>
      <c r="Y180" s="203">
        <f>(Y116*Y$152+X180)*Calculation!AB$31</f>
        <v>317089391.34066176</v>
      </c>
      <c r="Z180" s="203">
        <f>(Z116*Z$152+Y180)*Calculation!AC$31</f>
        <v>356618051.17980206</v>
      </c>
      <c r="AA180" s="203">
        <f>(AA116*AA$152+Z180)*Calculation!AD$31</f>
        <v>352964553.67403787</v>
      </c>
      <c r="AB180" s="203">
        <f>(AB116*AB$152+AA180)*Calculation!AE$31</f>
        <v>345653862.70973283</v>
      </c>
      <c r="AC180" s="203">
        <f>(AC116*AC$152+AB180)*Calculation!AF$31</f>
        <v>350495011.91058397</v>
      </c>
      <c r="BD180" s="116"/>
      <c r="BF180" s="101"/>
    </row>
  </sheetData>
  <mergeCells count="19">
    <mergeCell ref="BL26:BO26"/>
    <mergeCell ref="BP26:BQ26"/>
    <mergeCell ref="BL35:BO35"/>
    <mergeCell ref="BP35:BQ35"/>
    <mergeCell ref="D8:G8"/>
    <mergeCell ref="K65:L65"/>
    <mergeCell ref="K53:L53"/>
    <mergeCell ref="D77:G77"/>
    <mergeCell ref="D41:G41"/>
    <mergeCell ref="H8:J8"/>
    <mergeCell ref="H65:J65"/>
    <mergeCell ref="D53:G53"/>
    <mergeCell ref="D31:G31"/>
    <mergeCell ref="D12:G12"/>
    <mergeCell ref="D20:G20"/>
    <mergeCell ref="H53:J53"/>
    <mergeCell ref="H12:J12"/>
    <mergeCell ref="H20:J20"/>
    <mergeCell ref="D65:G65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E0D4A4"/>
  </sheetPr>
  <dimension ref="A1:T18"/>
  <sheetViews>
    <sheetView showGridLines="0" zoomScale="80" zoomScaleNormal="80" workbookViewId="0">
      <selection activeCell="F30" sqref="F30"/>
    </sheetView>
  </sheetViews>
  <sheetFormatPr defaultRowHeight="15.5" x14ac:dyDescent="0.35"/>
  <cols>
    <col min="1" max="1" width="5.69140625" customWidth="1"/>
    <col min="2" max="2" width="9.53515625" customWidth="1"/>
    <col min="3" max="5" width="14.53515625" customWidth="1"/>
    <col min="6" max="8" width="8.84375" customWidth="1"/>
    <col min="9" max="10" width="14.53515625" customWidth="1"/>
    <col min="11" max="14" width="8.84375" customWidth="1"/>
  </cols>
  <sheetData>
    <row r="1" spans="1:20" ht="18" x14ac:dyDescent="0.4">
      <c r="B1" s="76" t="str">
        <f ca="1">MID(CELL("filename",B2),FIND("]",CELL("filename",B2))+1,256)</f>
        <v>Option inputs</v>
      </c>
    </row>
    <row r="2" spans="1:20" x14ac:dyDescent="0.35">
      <c r="B2" s="77" t="s">
        <v>34</v>
      </c>
    </row>
    <row r="4" spans="1:20" ht="21" x14ac:dyDescent="0.5">
      <c r="A4" s="78"/>
      <c r="B4" s="63" t="s">
        <v>26</v>
      </c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</row>
    <row r="5" spans="1:20" x14ac:dyDescent="0.35">
      <c r="A5" s="78"/>
      <c r="B5" s="56"/>
      <c r="C5" s="56"/>
      <c r="D5" s="56"/>
      <c r="E5" s="70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</row>
    <row r="6" spans="1:20" x14ac:dyDescent="0.35">
      <c r="A6" s="78"/>
      <c r="B6" s="64" t="s">
        <v>5</v>
      </c>
      <c r="C6" s="64"/>
      <c r="D6" s="71"/>
      <c r="E6" s="71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</row>
    <row r="7" spans="1:20" x14ac:dyDescent="0.35">
      <c r="A7" s="78"/>
      <c r="B7" s="65" t="s">
        <v>6</v>
      </c>
      <c r="C7" s="65"/>
      <c r="D7" s="69" t="s">
        <v>7</v>
      </c>
      <c r="E7" s="69" t="s">
        <v>8</v>
      </c>
      <c r="F7" s="65" t="s">
        <v>33</v>
      </c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</row>
    <row r="8" spans="1:20" x14ac:dyDescent="0.35">
      <c r="A8" s="78"/>
      <c r="B8" s="66" t="s">
        <v>9</v>
      </c>
      <c r="C8" s="68"/>
      <c r="D8" s="72" t="s">
        <v>10</v>
      </c>
      <c r="E8" s="57">
        <v>2020</v>
      </c>
      <c r="F8" s="62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</row>
    <row r="9" spans="1:20" x14ac:dyDescent="0.35">
      <c r="A9" s="78"/>
      <c r="B9" s="66" t="s">
        <v>59</v>
      </c>
      <c r="C9" s="68"/>
      <c r="D9" s="72" t="s">
        <v>10</v>
      </c>
      <c r="E9" s="57">
        <v>2020</v>
      </c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</row>
    <row r="10" spans="1:20" x14ac:dyDescent="0.35">
      <c r="A10" s="78"/>
      <c r="B10" s="66" t="s">
        <v>11</v>
      </c>
      <c r="C10" s="68"/>
      <c r="D10" s="72" t="s">
        <v>12</v>
      </c>
      <c r="E10" s="57">
        <v>26</v>
      </c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</row>
    <row r="11" spans="1:20" x14ac:dyDescent="0.35">
      <c r="A11" s="78"/>
      <c r="B11" s="56"/>
      <c r="C11" s="56"/>
      <c r="D11" s="56"/>
      <c r="E11" s="56"/>
      <c r="F11" s="56"/>
      <c r="G11" s="56"/>
      <c r="H11" s="56"/>
      <c r="I11" s="56"/>
      <c r="J11" s="56"/>
    </row>
    <row r="12" spans="1:20" x14ac:dyDescent="0.35">
      <c r="A12" s="152"/>
      <c r="B12" s="5" t="s">
        <v>23</v>
      </c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</row>
    <row r="13" spans="1:20" ht="30" customHeight="1" x14ac:dyDescent="0.35">
      <c r="A13" s="151"/>
      <c r="B13" s="80" t="s">
        <v>14</v>
      </c>
      <c r="C13" s="79" t="s">
        <v>13</v>
      </c>
      <c r="D13" s="80"/>
      <c r="E13" s="81" t="s">
        <v>57</v>
      </c>
      <c r="F13" s="81" t="s">
        <v>41</v>
      </c>
      <c r="G13" s="79" t="s">
        <v>16</v>
      </c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</row>
    <row r="14" spans="1:20" x14ac:dyDescent="0.35">
      <c r="B14" s="67">
        <v>0</v>
      </c>
      <c r="C14" s="59" t="s">
        <v>15</v>
      </c>
      <c r="D14" s="83"/>
      <c r="E14" s="61" t="s">
        <v>56</v>
      </c>
      <c r="F14" s="153">
        <f t="shared" ref="F14:F18" si="0">IF(E14="Yes",1,0)</f>
        <v>1</v>
      </c>
      <c r="G14" s="83" t="s">
        <v>117</v>
      </c>
      <c r="H14" s="83"/>
      <c r="I14" s="83"/>
      <c r="J14" s="83"/>
      <c r="K14" s="60"/>
      <c r="L14" s="60"/>
      <c r="M14" s="60"/>
      <c r="N14" s="60"/>
      <c r="O14" s="60"/>
      <c r="P14" s="60"/>
      <c r="Q14" s="60"/>
      <c r="R14" s="60"/>
      <c r="S14" s="60"/>
      <c r="T14" s="60"/>
    </row>
    <row r="15" spans="1:20" x14ac:dyDescent="0.35">
      <c r="B15" s="67">
        <f t="shared" ref="B15:B18" si="1">+B14+1</f>
        <v>1</v>
      </c>
      <c r="C15" s="59" t="s">
        <v>135</v>
      </c>
      <c r="D15" s="82"/>
      <c r="E15" s="61" t="s">
        <v>56</v>
      </c>
      <c r="F15" s="153">
        <f t="shared" si="0"/>
        <v>1</v>
      </c>
      <c r="G15" s="82" t="s">
        <v>143</v>
      </c>
      <c r="H15" s="82"/>
      <c r="I15" s="82"/>
      <c r="J15" s="82"/>
      <c r="K15" s="60"/>
      <c r="L15" s="60"/>
      <c r="M15" s="60"/>
      <c r="N15" s="60"/>
      <c r="O15" s="60"/>
      <c r="P15" s="60"/>
      <c r="Q15" s="60"/>
      <c r="R15" s="60"/>
      <c r="S15" s="60"/>
      <c r="T15" s="60"/>
    </row>
    <row r="16" spans="1:20" x14ac:dyDescent="0.35">
      <c r="B16" s="67">
        <f t="shared" si="1"/>
        <v>2</v>
      </c>
      <c r="C16" s="59" t="s">
        <v>136</v>
      </c>
      <c r="D16" s="82"/>
      <c r="E16" s="61" t="s">
        <v>56</v>
      </c>
      <c r="F16" s="153">
        <f t="shared" si="0"/>
        <v>1</v>
      </c>
      <c r="G16" s="82" t="s">
        <v>144</v>
      </c>
      <c r="H16" s="82"/>
      <c r="I16" s="82"/>
      <c r="J16" s="82"/>
      <c r="K16" s="60"/>
      <c r="L16" s="60"/>
      <c r="M16" s="60"/>
      <c r="N16" s="60"/>
      <c r="O16" s="60"/>
      <c r="P16" s="60"/>
      <c r="Q16" s="60"/>
      <c r="R16" s="60"/>
      <c r="S16" s="60"/>
      <c r="T16" s="60"/>
    </row>
    <row r="17" spans="2:20" x14ac:dyDescent="0.35">
      <c r="B17" s="67">
        <f t="shared" si="1"/>
        <v>3</v>
      </c>
      <c r="C17" s="59" t="s">
        <v>137</v>
      </c>
      <c r="D17" s="59"/>
      <c r="E17" s="61" t="s">
        <v>56</v>
      </c>
      <c r="F17" s="153">
        <f t="shared" si="0"/>
        <v>1</v>
      </c>
      <c r="G17" s="82" t="s">
        <v>145</v>
      </c>
      <c r="H17" s="82"/>
      <c r="I17" s="59"/>
      <c r="J17" s="59"/>
      <c r="K17" s="60"/>
      <c r="L17" s="60"/>
      <c r="M17" s="60"/>
      <c r="N17" s="60"/>
      <c r="O17" s="60"/>
      <c r="P17" s="60"/>
      <c r="Q17" s="60"/>
      <c r="R17" s="60"/>
      <c r="S17" s="60"/>
      <c r="T17" s="60"/>
    </row>
    <row r="18" spans="2:20" x14ac:dyDescent="0.35">
      <c r="B18" s="67">
        <f t="shared" si="1"/>
        <v>4</v>
      </c>
      <c r="C18" s="59" t="s">
        <v>138</v>
      </c>
      <c r="D18" s="60"/>
      <c r="E18" s="61" t="s">
        <v>56</v>
      </c>
      <c r="F18" s="153">
        <f t="shared" si="0"/>
        <v>1</v>
      </c>
      <c r="G18" s="82" t="s">
        <v>146</v>
      </c>
      <c r="H18" s="82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</row>
  </sheetData>
  <dataValidations count="1">
    <dataValidation type="list" allowBlank="1" showInputMessage="1" showErrorMessage="1" sqref="E14:E18" xr:uid="{00000000-0002-0000-0200-000000000000}">
      <formula1>"Yes, No"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E0D4A4"/>
  </sheetPr>
  <dimension ref="A1:CS261"/>
  <sheetViews>
    <sheetView showGridLines="0" zoomScale="80" zoomScaleNormal="80" workbookViewId="0">
      <selection activeCell="I8" sqref="I8"/>
    </sheetView>
  </sheetViews>
  <sheetFormatPr defaultColWidth="8.84375" defaultRowHeight="12.5" x14ac:dyDescent="0.25"/>
  <cols>
    <col min="1" max="1" width="5.69140625" style="204" customWidth="1"/>
    <col min="2" max="2" width="9.53515625" style="207" customWidth="1"/>
    <col min="3" max="3" width="20.69140625" style="206" customWidth="1"/>
    <col min="4" max="4" width="20.69140625" style="207" customWidth="1"/>
    <col min="5" max="5" width="14.3046875" style="207" customWidth="1"/>
    <col min="6" max="30" width="14.69140625" style="207" customWidth="1"/>
    <col min="31" max="31" width="12.69140625" style="207" customWidth="1"/>
    <col min="32" max="35" width="12.69140625" style="208" customWidth="1"/>
    <col min="36" max="36" width="8.84375" style="207"/>
    <col min="37" max="37" width="9.4609375" style="207" customWidth="1"/>
    <col min="38" max="38" width="8.84375" style="207"/>
    <col min="39" max="39" width="12.765625" style="207" bestFit="1" customWidth="1"/>
    <col min="40" max="41" width="10.84375" style="207" bestFit="1" customWidth="1"/>
    <col min="42" max="42" width="11.07421875" style="207" bestFit="1" customWidth="1"/>
    <col min="43" max="43" width="11.765625" style="207" bestFit="1" customWidth="1"/>
    <col min="44" max="44" width="9.765625" style="207" bestFit="1" customWidth="1"/>
    <col min="45" max="45" width="10.23046875" style="207" bestFit="1" customWidth="1"/>
    <col min="46" max="46" width="9.765625" style="207" bestFit="1" customWidth="1"/>
    <col min="47" max="47" width="10.23046875" style="207" bestFit="1" customWidth="1"/>
    <col min="48" max="48" width="9.765625" style="207" bestFit="1" customWidth="1"/>
    <col min="49" max="50" width="10.84375" style="207" bestFit="1" customWidth="1"/>
    <col min="51" max="51" width="11.07421875" style="207" bestFit="1" customWidth="1"/>
    <col min="52" max="52" width="10.84375" style="207" bestFit="1" customWidth="1"/>
    <col min="53" max="54" width="11.07421875" style="207" bestFit="1" customWidth="1"/>
    <col min="55" max="56" width="11.765625" style="207" bestFit="1" customWidth="1"/>
    <col min="57" max="58" width="10.84375" style="207" bestFit="1" customWidth="1"/>
    <col min="59" max="61" width="11.765625" style="207" bestFit="1" customWidth="1"/>
    <col min="62" max="63" width="11.07421875" style="207" bestFit="1" customWidth="1"/>
    <col min="64" max="16384" width="8.84375" style="207"/>
  </cols>
  <sheetData>
    <row r="1" spans="1:63" ht="13" x14ac:dyDescent="0.3">
      <c r="B1" s="205" t="str">
        <f ca="1">MID(CELL("filename",B2),FIND("]",CELL("filename",B2))+1,256)</f>
        <v>CBA Inputs</v>
      </c>
    </row>
    <row r="2" spans="1:63" x14ac:dyDescent="0.25">
      <c r="B2" s="209" t="s">
        <v>34</v>
      </c>
      <c r="O2" s="210"/>
      <c r="P2" s="210"/>
      <c r="Q2" s="210"/>
      <c r="R2" s="210"/>
    </row>
    <row r="3" spans="1:63" x14ac:dyDescent="0.25">
      <c r="A3" s="211"/>
    </row>
    <row r="4" spans="1:63" ht="13" x14ac:dyDescent="0.3">
      <c r="B4" s="212" t="s">
        <v>46</v>
      </c>
      <c r="C4" s="213"/>
      <c r="D4" s="212"/>
      <c r="E4" s="213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</row>
    <row r="5" spans="1:63" x14ac:dyDescent="0.25">
      <c r="A5" s="214"/>
      <c r="E5" s="215"/>
      <c r="F5" s="215"/>
      <c r="G5" s="215"/>
      <c r="H5" s="215"/>
      <c r="I5" s="215"/>
      <c r="J5" s="206"/>
    </row>
    <row r="6" spans="1:63" ht="13" x14ac:dyDescent="0.3">
      <c r="A6" s="214"/>
      <c r="B6" s="103" t="s">
        <v>44</v>
      </c>
      <c r="C6" s="134"/>
      <c r="D6" s="103"/>
      <c r="E6" s="103"/>
      <c r="F6" s="103"/>
      <c r="G6" s="103"/>
      <c r="H6" s="103"/>
      <c r="I6" s="103"/>
      <c r="J6" s="103"/>
    </row>
    <row r="7" spans="1:63" ht="13" x14ac:dyDescent="0.3">
      <c r="A7" s="214"/>
      <c r="B7" s="165" t="s">
        <v>5</v>
      </c>
      <c r="C7" s="216"/>
      <c r="D7" s="165"/>
      <c r="E7" s="217" t="s">
        <v>7</v>
      </c>
      <c r="F7" s="217" t="s">
        <v>60</v>
      </c>
      <c r="G7" s="217" t="s">
        <v>39</v>
      </c>
      <c r="H7" s="217" t="s">
        <v>40</v>
      </c>
      <c r="I7" s="217" t="s">
        <v>61</v>
      </c>
      <c r="J7" s="217" t="s">
        <v>41</v>
      </c>
    </row>
    <row r="8" spans="1:63" x14ac:dyDescent="0.25">
      <c r="A8" s="214"/>
      <c r="B8" s="218" t="s">
        <v>71</v>
      </c>
      <c r="C8" s="219"/>
      <c r="D8" s="218"/>
      <c r="E8" s="220" t="s">
        <v>55</v>
      </c>
      <c r="F8" s="221">
        <v>5.8999999999999997E-2</v>
      </c>
      <c r="G8" s="221">
        <v>2.8500000000000001E-2</v>
      </c>
      <c r="H8" s="221">
        <v>8.9499999999999996E-2</v>
      </c>
      <c r="I8" s="222">
        <f>INDEX($F8:$H8,1,MATCH('Interface and charts'!$H12,$F$7:$H$7,0))</f>
        <v>5.8999999999999997E-2</v>
      </c>
      <c r="J8" s="222">
        <f>DiscountRate_Selection</f>
        <v>5.8999999999999997E-2</v>
      </c>
    </row>
    <row r="9" spans="1:63" x14ac:dyDescent="0.25">
      <c r="A9" s="214"/>
      <c r="E9" s="215"/>
      <c r="F9" s="215"/>
      <c r="G9" s="215"/>
      <c r="H9" s="215"/>
      <c r="I9" s="215"/>
      <c r="J9" s="206"/>
    </row>
    <row r="10" spans="1:63" ht="13" x14ac:dyDescent="0.3">
      <c r="A10" s="214"/>
      <c r="B10" s="223" t="s">
        <v>43</v>
      </c>
      <c r="C10" s="224"/>
      <c r="D10" s="225"/>
      <c r="E10" s="226"/>
      <c r="F10" s="226"/>
      <c r="G10" s="226"/>
      <c r="H10" s="226"/>
      <c r="I10" s="226"/>
      <c r="J10" s="226"/>
    </row>
    <row r="11" spans="1:63" ht="13" x14ac:dyDescent="0.3">
      <c r="A11" s="207"/>
      <c r="B11" s="165" t="s">
        <v>42</v>
      </c>
      <c r="C11" s="216"/>
      <c r="D11" s="165"/>
      <c r="E11" s="217" t="s">
        <v>7</v>
      </c>
      <c r="F11" s="217" t="s">
        <v>60</v>
      </c>
      <c r="G11" s="217" t="s">
        <v>39</v>
      </c>
      <c r="H11" s="217" t="s">
        <v>40</v>
      </c>
      <c r="I11" s="217" t="s">
        <v>61</v>
      </c>
      <c r="J11" s="217" t="s">
        <v>41</v>
      </c>
    </row>
    <row r="12" spans="1:63" x14ac:dyDescent="0.25">
      <c r="A12" s="207"/>
      <c r="B12" s="218" t="s">
        <v>17</v>
      </c>
      <c r="C12" s="219"/>
      <c r="D12" s="218"/>
      <c r="E12" s="220" t="s">
        <v>55</v>
      </c>
      <c r="F12" s="227">
        <v>1</v>
      </c>
      <c r="G12" s="228">
        <v>0.75</v>
      </c>
      <c r="H12" s="228">
        <v>1.25</v>
      </c>
      <c r="I12" s="229">
        <f>INDEX($F12:$H12,1,MATCH('Interface and charts'!$H13,$F$11:$H$11,0))</f>
        <v>1</v>
      </c>
      <c r="J12" s="229">
        <f>CapitalCost_Selection</f>
        <v>1</v>
      </c>
    </row>
    <row r="13" spans="1:63" x14ac:dyDescent="0.25">
      <c r="A13" s="207"/>
      <c r="B13" s="218" t="str">
        <f>+B31</f>
        <v>Operating and maintenance cost</v>
      </c>
      <c r="C13" s="219"/>
      <c r="D13" s="218"/>
      <c r="E13" s="220" t="s">
        <v>55</v>
      </c>
      <c r="F13" s="228">
        <v>1</v>
      </c>
      <c r="G13" s="228">
        <v>0.75</v>
      </c>
      <c r="H13" s="228">
        <v>1.25</v>
      </c>
      <c r="I13" s="229">
        <f>INDEX($F13:$H13,1,MATCH('Interface and charts'!$H14,$F$11:$H$11,0))</f>
        <v>1</v>
      </c>
      <c r="J13" s="229">
        <f>Cost1_Selection</f>
        <v>1</v>
      </c>
    </row>
    <row r="14" spans="1:63" x14ac:dyDescent="0.25">
      <c r="A14" s="230"/>
      <c r="D14" s="231"/>
      <c r="E14" s="231"/>
      <c r="F14" s="102"/>
      <c r="K14" s="207" t="s">
        <v>92</v>
      </c>
      <c r="N14" s="206"/>
    </row>
    <row r="15" spans="1:63" ht="13" x14ac:dyDescent="0.3">
      <c r="A15" s="230"/>
      <c r="B15" s="212" t="s">
        <v>24</v>
      </c>
      <c r="C15" s="213"/>
      <c r="D15" s="212"/>
      <c r="E15" s="212"/>
      <c r="F15" s="212"/>
      <c r="G15" s="212"/>
      <c r="H15" s="212"/>
      <c r="I15" s="212"/>
      <c r="J15" s="212"/>
      <c r="K15" s="212"/>
      <c r="L15" s="212"/>
      <c r="M15" s="212"/>
      <c r="N15" s="213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</row>
    <row r="16" spans="1:63" x14ac:dyDescent="0.25">
      <c r="A16" s="230"/>
      <c r="B16" s="230"/>
      <c r="C16" s="232"/>
      <c r="D16" s="230"/>
      <c r="E16" s="233"/>
      <c r="F16" s="230"/>
      <c r="G16" s="230"/>
      <c r="H16" s="230"/>
      <c r="I16" s="230"/>
      <c r="J16" s="230"/>
      <c r="N16" s="230"/>
      <c r="O16" s="232"/>
      <c r="P16" s="230"/>
      <c r="Q16" s="230"/>
      <c r="R16" s="230"/>
      <c r="S16" s="230"/>
      <c r="T16" s="230"/>
      <c r="U16" s="230"/>
      <c r="V16" s="230"/>
      <c r="W16" s="204"/>
      <c r="X16" s="204"/>
      <c r="Y16" s="204"/>
      <c r="Z16" s="204"/>
      <c r="AA16" s="204"/>
      <c r="AB16" s="204"/>
      <c r="AC16" s="204"/>
      <c r="AD16" s="204"/>
      <c r="AE16" s="204"/>
      <c r="AF16" s="230"/>
      <c r="AG16" s="230"/>
      <c r="AH16" s="230"/>
      <c r="AI16" s="230"/>
      <c r="AL16" s="231"/>
      <c r="AM16" s="231"/>
      <c r="AN16" s="231"/>
      <c r="AO16" s="231"/>
      <c r="AP16" s="231"/>
      <c r="AQ16" s="231"/>
      <c r="AR16" s="231"/>
      <c r="AS16" s="231"/>
      <c r="AT16" s="231"/>
      <c r="AU16" s="231"/>
      <c r="AV16" s="231"/>
      <c r="AW16" s="231"/>
      <c r="AX16" s="231"/>
      <c r="AY16" s="231"/>
      <c r="AZ16" s="231"/>
      <c r="BA16" s="231"/>
      <c r="BB16" s="231"/>
      <c r="BC16" s="231"/>
      <c r="BD16" s="231"/>
      <c r="BE16" s="231"/>
      <c r="BF16" s="231"/>
      <c r="BG16" s="231"/>
      <c r="BH16" s="231"/>
      <c r="BI16" s="231"/>
      <c r="BJ16" s="231"/>
      <c r="BK16" s="231"/>
    </row>
    <row r="17" spans="1:63" ht="33" customHeight="1" x14ac:dyDescent="0.25">
      <c r="A17" s="230"/>
      <c r="B17" s="234" t="s">
        <v>14</v>
      </c>
      <c r="C17" s="235" t="s">
        <v>13</v>
      </c>
      <c r="D17" s="235" t="s">
        <v>53</v>
      </c>
      <c r="E17" s="236" t="s">
        <v>21</v>
      </c>
      <c r="F17" s="236" t="s">
        <v>18</v>
      </c>
      <c r="G17" s="236" t="s">
        <v>19</v>
      </c>
      <c r="H17" s="236" t="s">
        <v>83</v>
      </c>
      <c r="I17" s="236" t="s">
        <v>20</v>
      </c>
      <c r="J17" s="236" t="s">
        <v>132</v>
      </c>
      <c r="V17" s="230"/>
      <c r="W17" s="204"/>
      <c r="X17" s="204"/>
      <c r="Y17" s="204"/>
      <c r="Z17" s="204"/>
      <c r="AA17" s="204"/>
      <c r="AB17" s="204"/>
      <c r="AC17" s="204"/>
      <c r="AD17" s="204"/>
      <c r="AE17" s="204"/>
      <c r="AF17" s="230"/>
      <c r="AG17" s="230"/>
      <c r="AH17" s="230"/>
      <c r="AI17" s="230"/>
      <c r="AL17" s="231"/>
      <c r="AM17" s="231"/>
      <c r="AN17" s="231"/>
      <c r="AO17" s="231"/>
      <c r="AP17" s="231"/>
      <c r="AQ17" s="231"/>
      <c r="AR17" s="231"/>
      <c r="AS17" s="231"/>
      <c r="AT17" s="231"/>
      <c r="AU17" s="231"/>
      <c r="AV17" s="231"/>
      <c r="AW17" s="231"/>
      <c r="AX17" s="231"/>
      <c r="AY17" s="231"/>
      <c r="AZ17" s="231"/>
      <c r="BA17" s="231"/>
      <c r="BB17" s="231"/>
      <c r="BC17" s="231"/>
      <c r="BD17" s="231"/>
      <c r="BE17" s="231"/>
      <c r="BF17" s="231"/>
      <c r="BG17" s="231"/>
      <c r="BH17" s="231"/>
      <c r="BI17" s="231"/>
      <c r="BJ17" s="231"/>
      <c r="BK17" s="231"/>
    </row>
    <row r="18" spans="1:63" ht="13" x14ac:dyDescent="0.3">
      <c r="A18" s="230"/>
      <c r="B18" s="220">
        <f>IFERROR(INDEX('Option inputs'!$B$14:$B$18,MATCH($C18,'Option inputs'!$C$14:$C$18,0)),"")</f>
        <v>1</v>
      </c>
      <c r="C18" s="237" t="s">
        <v>135</v>
      </c>
      <c r="D18" s="237" t="s">
        <v>131</v>
      </c>
      <c r="E18" s="238">
        <v>186718902.42061299</v>
      </c>
      <c r="F18" s="239">
        <v>2022</v>
      </c>
      <c r="G18" s="239">
        <v>2022</v>
      </c>
      <c r="H18" s="239">
        <v>2022</v>
      </c>
      <c r="I18" s="239">
        <v>40</v>
      </c>
      <c r="J18" s="239">
        <f>H18+I18-1</f>
        <v>2061</v>
      </c>
      <c r="V18" s="240"/>
      <c r="W18" s="241"/>
      <c r="X18" s="204"/>
      <c r="Y18" s="204"/>
      <c r="Z18" s="204"/>
      <c r="AA18" s="204"/>
      <c r="AB18" s="204"/>
      <c r="AC18" s="204"/>
      <c r="AD18" s="204"/>
      <c r="AE18" s="204"/>
      <c r="AF18" s="230"/>
      <c r="AG18" s="230"/>
      <c r="AH18" s="230"/>
      <c r="AI18" s="230"/>
      <c r="AL18" s="231"/>
      <c r="AM18" s="231"/>
      <c r="AN18" s="231"/>
      <c r="AO18" s="231"/>
      <c r="AP18" s="231"/>
      <c r="AQ18" s="231"/>
      <c r="AR18" s="231"/>
      <c r="AS18" s="231"/>
      <c r="AT18" s="231"/>
      <c r="AU18" s="231"/>
      <c r="AV18" s="231"/>
      <c r="AW18" s="231"/>
      <c r="AX18" s="231"/>
      <c r="AY18" s="231"/>
      <c r="AZ18" s="231"/>
      <c r="BA18" s="231"/>
      <c r="BB18" s="231"/>
      <c r="BC18" s="231"/>
      <c r="BD18" s="231"/>
      <c r="BE18" s="231"/>
      <c r="BF18" s="231"/>
      <c r="BG18" s="231"/>
      <c r="BH18" s="231"/>
      <c r="BI18" s="231"/>
      <c r="BJ18" s="231"/>
      <c r="BK18" s="231"/>
    </row>
    <row r="19" spans="1:63" ht="13" x14ac:dyDescent="0.3">
      <c r="A19" s="230"/>
      <c r="B19" s="220">
        <f>IFERROR(INDEX('Option inputs'!$B$14:$B$18,MATCH($C19,'Option inputs'!$C$14:$C$18,0)),"")</f>
        <v>1</v>
      </c>
      <c r="C19" s="237" t="s">
        <v>135</v>
      </c>
      <c r="D19" s="242" t="s">
        <v>130</v>
      </c>
      <c r="E19" s="243">
        <v>43291097.579387002</v>
      </c>
      <c r="F19" s="244">
        <v>2022</v>
      </c>
      <c r="G19" s="244">
        <v>2022</v>
      </c>
      <c r="H19" s="244">
        <v>2022</v>
      </c>
      <c r="I19" s="244">
        <v>50</v>
      </c>
      <c r="J19" s="244">
        <f t="shared" ref="J19:J22" si="0">H19+I19-1</f>
        <v>2071</v>
      </c>
      <c r="V19" s="240"/>
      <c r="W19" s="204"/>
      <c r="X19" s="204"/>
      <c r="Y19" s="204"/>
      <c r="Z19" s="204"/>
      <c r="AA19" s="204"/>
      <c r="AB19" s="204"/>
      <c r="AC19" s="204"/>
      <c r="AD19" s="204"/>
      <c r="AE19" s="204"/>
      <c r="AF19" s="230"/>
      <c r="AG19" s="230"/>
      <c r="AH19" s="230"/>
      <c r="AI19" s="230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H19" s="231"/>
      <c r="BI19" s="231"/>
      <c r="BJ19" s="231"/>
      <c r="BK19" s="231"/>
    </row>
    <row r="20" spans="1:63" ht="13" x14ac:dyDescent="0.3">
      <c r="A20" s="230"/>
      <c r="B20" s="220">
        <f>IFERROR(INDEX('Option inputs'!$B$14:$B$18,MATCH($C20,'Option inputs'!$C$14:$C$18,0)),"")</f>
        <v>2</v>
      </c>
      <c r="C20" s="245" t="s">
        <v>136</v>
      </c>
      <c r="D20" s="245" t="s">
        <v>130</v>
      </c>
      <c r="E20" s="246">
        <v>43291097.579387002</v>
      </c>
      <c r="F20" s="247">
        <v>2022</v>
      </c>
      <c r="G20" s="247">
        <v>2022</v>
      </c>
      <c r="H20" s="247">
        <v>2022</v>
      </c>
      <c r="I20" s="247">
        <v>50</v>
      </c>
      <c r="J20" s="247">
        <f t="shared" si="0"/>
        <v>2071</v>
      </c>
      <c r="V20" s="240"/>
      <c r="W20" s="204"/>
      <c r="X20" s="204"/>
      <c r="Y20" s="204"/>
      <c r="Z20" s="204"/>
      <c r="AA20" s="204"/>
      <c r="AB20" s="204"/>
      <c r="AC20" s="204"/>
      <c r="AD20" s="204"/>
      <c r="AE20" s="204"/>
      <c r="AF20" s="230"/>
      <c r="AG20" s="230"/>
      <c r="AH20" s="230"/>
      <c r="AI20" s="230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E20" s="231"/>
      <c r="BF20" s="231"/>
      <c r="BG20" s="231"/>
      <c r="BH20" s="231"/>
      <c r="BI20" s="231"/>
      <c r="BJ20" s="231"/>
      <c r="BK20" s="231"/>
    </row>
    <row r="21" spans="1:63" ht="13" x14ac:dyDescent="0.3">
      <c r="A21" s="230"/>
      <c r="B21" s="220">
        <f>IFERROR(INDEX('Option inputs'!$B$14:$B$18,MATCH($C21,'Option inputs'!$C$14:$C$18,0)),"")</f>
        <v>3</v>
      </c>
      <c r="C21" s="245" t="s">
        <v>137</v>
      </c>
      <c r="D21" s="245" t="s">
        <v>131</v>
      </c>
      <c r="E21" s="248">
        <v>186718902.42061299</v>
      </c>
      <c r="F21" s="249">
        <v>2022</v>
      </c>
      <c r="G21" s="249">
        <v>2022</v>
      </c>
      <c r="H21" s="249">
        <v>2022</v>
      </c>
      <c r="I21" s="247">
        <v>40</v>
      </c>
      <c r="J21" s="247">
        <f t="shared" si="0"/>
        <v>2061</v>
      </c>
      <c r="V21" s="240"/>
      <c r="W21" s="204"/>
      <c r="X21" s="204"/>
      <c r="Y21" s="204"/>
      <c r="Z21" s="204"/>
      <c r="AA21" s="204"/>
      <c r="AB21" s="204"/>
      <c r="AC21" s="204"/>
      <c r="AD21" s="204"/>
      <c r="AE21" s="204"/>
      <c r="AF21" s="230"/>
      <c r="AG21" s="230"/>
      <c r="AH21" s="230"/>
      <c r="AI21" s="230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231"/>
      <c r="AW21" s="231"/>
      <c r="AX21" s="231"/>
      <c r="AY21" s="231"/>
      <c r="AZ21" s="231"/>
      <c r="BA21" s="231"/>
      <c r="BB21" s="231"/>
      <c r="BC21" s="231"/>
      <c r="BD21" s="231"/>
      <c r="BE21" s="231"/>
      <c r="BF21" s="231"/>
      <c r="BG21" s="231"/>
      <c r="BH21" s="231"/>
      <c r="BI21" s="231"/>
      <c r="BJ21" s="231"/>
      <c r="BK21" s="231"/>
    </row>
    <row r="22" spans="1:63" ht="13" x14ac:dyDescent="0.3">
      <c r="A22" s="250">
        <v>5</v>
      </c>
      <c r="B22" s="220">
        <f>IFERROR(INDEX('Option inputs'!$B$14:$B$18,MATCH($C22,'Option inputs'!$C$14:$C$18,0)),"")</f>
        <v>4</v>
      </c>
      <c r="C22" s="245" t="s">
        <v>138</v>
      </c>
      <c r="D22" s="245" t="s">
        <v>131</v>
      </c>
      <c r="E22" s="248">
        <v>59338634.243838876</v>
      </c>
      <c r="F22" s="249">
        <v>2022</v>
      </c>
      <c r="G22" s="249">
        <v>2022</v>
      </c>
      <c r="H22" s="249">
        <v>2022</v>
      </c>
      <c r="I22" s="247">
        <v>40</v>
      </c>
      <c r="J22" s="247">
        <f t="shared" si="0"/>
        <v>2061</v>
      </c>
      <c r="V22" s="240"/>
      <c r="W22" s="251"/>
      <c r="X22" s="204"/>
      <c r="Y22" s="204"/>
      <c r="Z22" s="204"/>
      <c r="AA22" s="204"/>
      <c r="AB22" s="204"/>
      <c r="AC22" s="204"/>
      <c r="AD22" s="204"/>
      <c r="AE22" s="204"/>
      <c r="AF22" s="230"/>
      <c r="AG22" s="230"/>
      <c r="AH22" s="230"/>
      <c r="AI22" s="230"/>
      <c r="AL22" s="231"/>
      <c r="AM22" s="231"/>
      <c r="AN22" s="231"/>
      <c r="AO22" s="231"/>
      <c r="AP22" s="231"/>
      <c r="AQ22" s="231"/>
      <c r="AR22" s="231"/>
      <c r="AS22" s="231"/>
      <c r="AT22" s="231"/>
      <c r="AU22" s="231"/>
      <c r="AV22" s="231"/>
      <c r="AW22" s="231"/>
      <c r="AX22" s="231"/>
      <c r="AY22" s="231"/>
      <c r="AZ22" s="231"/>
      <c r="BA22" s="231"/>
      <c r="BB22" s="231"/>
      <c r="BC22" s="231"/>
      <c r="BD22" s="231"/>
      <c r="BE22" s="231"/>
      <c r="BF22" s="231"/>
      <c r="BG22" s="231"/>
      <c r="BH22" s="231"/>
      <c r="BI22" s="231"/>
      <c r="BJ22" s="231"/>
      <c r="BK22" s="231"/>
    </row>
    <row r="23" spans="1:63" hidden="1" x14ac:dyDescent="0.25">
      <c r="A23" s="211"/>
      <c r="B23" s="252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30"/>
      <c r="AG23" s="230"/>
      <c r="AH23" s="230"/>
      <c r="AI23" s="230"/>
    </row>
    <row r="24" spans="1:63" ht="26" hidden="1" x14ac:dyDescent="0.25">
      <c r="A24" s="211"/>
      <c r="B24" s="234" t="s">
        <v>14</v>
      </c>
      <c r="C24" s="235" t="s">
        <v>13</v>
      </c>
      <c r="D24" s="235" t="s">
        <v>53</v>
      </c>
      <c r="E24" s="236" t="s">
        <v>21</v>
      </c>
      <c r="F24" s="236" t="s">
        <v>18</v>
      </c>
      <c r="G24" s="236" t="s">
        <v>19</v>
      </c>
      <c r="H24" s="236" t="s">
        <v>83</v>
      </c>
      <c r="I24" s="236" t="s">
        <v>20</v>
      </c>
      <c r="J24" s="236" t="s">
        <v>45</v>
      </c>
      <c r="K24" s="236" t="s">
        <v>132</v>
      </c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204"/>
      <c r="AC24" s="204"/>
      <c r="AD24" s="204"/>
      <c r="AE24" s="204"/>
      <c r="AF24" s="230"/>
      <c r="AG24" s="230"/>
      <c r="AH24" s="230"/>
      <c r="AI24" s="230"/>
    </row>
    <row r="25" spans="1:63" hidden="1" x14ac:dyDescent="0.25">
      <c r="A25" s="211"/>
      <c r="B25" s="220" t="str">
        <f>IFERROR(INDEX('Option inputs'!$B$14:$B$18,MATCH($C25,'Option inputs'!$C$14:$C$18,0)),"")</f>
        <v/>
      </c>
      <c r="C25" s="253"/>
      <c r="D25" s="254"/>
      <c r="E25" s="238"/>
      <c r="F25" s="239"/>
      <c r="G25" s="239"/>
      <c r="H25" s="239"/>
      <c r="I25" s="255"/>
      <c r="J25" s="255"/>
      <c r="K25" s="255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30"/>
      <c r="AG25" s="230"/>
      <c r="AH25" s="230"/>
      <c r="AI25" s="230"/>
    </row>
    <row r="26" spans="1:63" hidden="1" x14ac:dyDescent="0.25">
      <c r="A26" s="211"/>
      <c r="B26" s="220" t="str">
        <f>IFERROR(INDEX('Option inputs'!$B$14:$B$18,MATCH($C26,'Option inputs'!$C$14:$C$18,0)),"")</f>
        <v/>
      </c>
      <c r="C26" s="253"/>
      <c r="D26" s="254"/>
      <c r="E26" s="238"/>
      <c r="F26" s="239"/>
      <c r="G26" s="239"/>
      <c r="H26" s="239"/>
      <c r="I26" s="255"/>
      <c r="J26" s="255"/>
      <c r="K26" s="255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30"/>
      <c r="AG26" s="230"/>
      <c r="AH26" s="230"/>
      <c r="AI26" s="230"/>
    </row>
    <row r="27" spans="1:63" hidden="1" x14ac:dyDescent="0.25">
      <c r="A27" s="211"/>
      <c r="B27" s="220" t="str">
        <f>IFERROR(INDEX('Option inputs'!$B$14:$B$18,MATCH($C27,'Option inputs'!$C$14:$C$18,0)),"")</f>
        <v/>
      </c>
      <c r="C27" s="253"/>
      <c r="D27" s="254"/>
      <c r="E27" s="238"/>
      <c r="F27" s="239"/>
      <c r="G27" s="239"/>
      <c r="H27" s="239"/>
      <c r="I27" s="255"/>
      <c r="J27" s="255"/>
      <c r="K27" s="255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30"/>
      <c r="AG27" s="230"/>
      <c r="AH27" s="230"/>
      <c r="AI27" s="230"/>
    </row>
    <row r="28" spans="1:63" hidden="1" x14ac:dyDescent="0.25">
      <c r="A28" s="211"/>
      <c r="B28" s="220" t="str">
        <f>IFERROR(INDEX('Option inputs'!$B$14:$B$18,MATCH($C28,'Option inputs'!$C$14:$C$18,0)),"")</f>
        <v/>
      </c>
      <c r="C28" s="253"/>
      <c r="D28" s="254"/>
      <c r="E28" s="238"/>
      <c r="F28" s="239"/>
      <c r="G28" s="239"/>
      <c r="H28" s="239"/>
      <c r="I28" s="255"/>
      <c r="J28" s="255"/>
      <c r="K28" s="255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30"/>
      <c r="AG28" s="230"/>
      <c r="AH28" s="230"/>
      <c r="AI28" s="230"/>
    </row>
    <row r="29" spans="1:63" hidden="1" x14ac:dyDescent="0.25">
      <c r="A29" s="211"/>
      <c r="B29" s="220" t="str">
        <f>IFERROR(INDEX('Option inputs'!$B$14:$B$18,MATCH($C29,'Option inputs'!$C$14:$C$18,0)),"")</f>
        <v/>
      </c>
      <c r="C29" s="253"/>
      <c r="D29" s="254"/>
      <c r="E29" s="238"/>
      <c r="F29" s="239"/>
      <c r="G29" s="239"/>
      <c r="H29" s="239"/>
      <c r="I29" s="255"/>
      <c r="J29" s="255"/>
      <c r="K29" s="239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30"/>
      <c r="AG29" s="230"/>
      <c r="AH29" s="230"/>
      <c r="AI29" s="230"/>
    </row>
    <row r="30" spans="1:63" x14ac:dyDescent="0.25">
      <c r="A30" s="211"/>
      <c r="B30" s="252"/>
      <c r="J30" s="204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56"/>
      <c r="AE30" s="256"/>
      <c r="AF30" s="204"/>
      <c r="AG30" s="204"/>
      <c r="AH30" s="204"/>
      <c r="AI30" s="204"/>
    </row>
    <row r="31" spans="1:63" ht="13" x14ac:dyDescent="0.3">
      <c r="A31" s="211"/>
      <c r="B31" s="257" t="s">
        <v>90</v>
      </c>
      <c r="C31" s="258"/>
      <c r="D31" s="257"/>
      <c r="E31" s="259"/>
      <c r="F31" s="257">
        <f>Calculation!G34</f>
        <v>2020</v>
      </c>
      <c r="G31" s="257">
        <f>Calculation!H34</f>
        <v>2021</v>
      </c>
      <c r="H31" s="257">
        <f>Calculation!I34</f>
        <v>2022</v>
      </c>
      <c r="I31" s="257">
        <f>Calculation!J34</f>
        <v>2023</v>
      </c>
      <c r="J31" s="257">
        <f>Calculation!K34</f>
        <v>2024</v>
      </c>
      <c r="K31" s="257">
        <f>Calculation!L34</f>
        <v>2025</v>
      </c>
      <c r="L31" s="257">
        <f>Calculation!M34</f>
        <v>2026</v>
      </c>
      <c r="M31" s="257">
        <f>Calculation!N34</f>
        <v>2027</v>
      </c>
      <c r="N31" s="257">
        <f>Calculation!O34</f>
        <v>2028</v>
      </c>
      <c r="O31" s="257">
        <f>Calculation!P34</f>
        <v>2029</v>
      </c>
      <c r="P31" s="257">
        <f>Calculation!Q34</f>
        <v>2030</v>
      </c>
      <c r="Q31" s="257">
        <f>Calculation!R34</f>
        <v>2031</v>
      </c>
      <c r="R31" s="257">
        <f>Calculation!S34</f>
        <v>2032</v>
      </c>
      <c r="S31" s="257">
        <f>Calculation!T34</f>
        <v>2033</v>
      </c>
      <c r="T31" s="257">
        <f>Calculation!U34</f>
        <v>2034</v>
      </c>
      <c r="U31" s="257">
        <f>Calculation!V34</f>
        <v>2035</v>
      </c>
      <c r="V31" s="257">
        <f>Calculation!W34</f>
        <v>2036</v>
      </c>
      <c r="W31" s="257">
        <f>Calculation!X34</f>
        <v>2037</v>
      </c>
      <c r="X31" s="257">
        <f>Calculation!Y34</f>
        <v>2038</v>
      </c>
      <c r="Y31" s="257">
        <f>Calculation!Z34</f>
        <v>2039</v>
      </c>
      <c r="Z31" s="257">
        <f>Calculation!AA34</f>
        <v>2040</v>
      </c>
      <c r="AA31" s="257">
        <f>Calculation!AB34</f>
        <v>2041</v>
      </c>
      <c r="AB31" s="257">
        <f>Calculation!AC34</f>
        <v>2042</v>
      </c>
      <c r="AC31" s="257">
        <f>Calculation!AD34</f>
        <v>2043</v>
      </c>
      <c r="AD31" s="257">
        <f>Calculation!AE34</f>
        <v>2044</v>
      </c>
      <c r="AE31" s="257">
        <f>Calculation!AF34</f>
        <v>2045</v>
      </c>
      <c r="AF31" s="257">
        <f>Calculation!AG34</f>
        <v>2046</v>
      </c>
      <c r="AG31" s="257">
        <f>Calculation!AH34</f>
        <v>2047</v>
      </c>
      <c r="AH31" s="257">
        <f>Calculation!AI34</f>
        <v>2048</v>
      </c>
      <c r="AI31" s="257">
        <f>Calculation!AJ34</f>
        <v>2049</v>
      </c>
    </row>
    <row r="32" spans="1:63" ht="13" x14ac:dyDescent="0.3">
      <c r="A32" s="211"/>
      <c r="B32" s="165" t="s">
        <v>14</v>
      </c>
      <c r="C32" s="216" t="s">
        <v>13</v>
      </c>
      <c r="D32" s="165"/>
      <c r="E32" s="217" t="s">
        <v>7</v>
      </c>
      <c r="F32" s="260" t="str">
        <f>Calculation!G$32</f>
        <v>FY 2019-20</v>
      </c>
      <c r="G32" s="260" t="str">
        <f>Calculation!H$32</f>
        <v>FY 2020-21</v>
      </c>
      <c r="H32" s="260" t="str">
        <f>Calculation!I$32</f>
        <v>FY 2021-22</v>
      </c>
      <c r="I32" s="260" t="str">
        <f>Calculation!J$32</f>
        <v>FY 2022-23</v>
      </c>
      <c r="J32" s="260" t="str">
        <f>Calculation!K$32</f>
        <v>FY 2023-24</v>
      </c>
      <c r="K32" s="260" t="str">
        <f>Calculation!L$32</f>
        <v>FY 2024-25</v>
      </c>
      <c r="L32" s="260" t="str">
        <f>Calculation!M$32</f>
        <v>FY 2025-26</v>
      </c>
      <c r="M32" s="260" t="str">
        <f>Calculation!N$32</f>
        <v>FY 2026-27</v>
      </c>
      <c r="N32" s="260" t="str">
        <f>Calculation!O$32</f>
        <v>FY 2027-28</v>
      </c>
      <c r="O32" s="260" t="str">
        <f>Calculation!P$32</f>
        <v>FY 2028-29</v>
      </c>
      <c r="P32" s="260" t="str">
        <f>Calculation!Q$32</f>
        <v>FY 2029-30</v>
      </c>
      <c r="Q32" s="260" t="str">
        <f>Calculation!R$32</f>
        <v>FY 2030-31</v>
      </c>
      <c r="R32" s="260" t="str">
        <f>Calculation!S$32</f>
        <v>FY 2031-32</v>
      </c>
      <c r="S32" s="260" t="str">
        <f>Calculation!T$32</f>
        <v>FY 2032-33</v>
      </c>
      <c r="T32" s="260" t="str">
        <f>Calculation!U$32</f>
        <v>FY 2033-34</v>
      </c>
      <c r="U32" s="260" t="str">
        <f>Calculation!V$32</f>
        <v>FY 2034-35</v>
      </c>
      <c r="V32" s="260" t="str">
        <f>Calculation!W$32</f>
        <v>FY 2035-36</v>
      </c>
      <c r="W32" s="260" t="str">
        <f>Calculation!X$32</f>
        <v>FY 2036-37</v>
      </c>
      <c r="X32" s="260" t="str">
        <f>Calculation!Y$32</f>
        <v>FY 2037-38</v>
      </c>
      <c r="Y32" s="260" t="str">
        <f>Calculation!Z$32</f>
        <v>FY 2038-39</v>
      </c>
      <c r="Z32" s="260" t="str">
        <f>Calculation!AA$32</f>
        <v>FY 2039-40</v>
      </c>
      <c r="AA32" s="260" t="str">
        <f>Calculation!AB$32</f>
        <v>FY 2040-41</v>
      </c>
      <c r="AB32" s="260" t="str">
        <f>Calculation!AC$32</f>
        <v>FY 2041-42</v>
      </c>
      <c r="AC32" s="260" t="str">
        <f>Calculation!AD$32</f>
        <v>FY 2042-43</v>
      </c>
      <c r="AD32" s="260" t="str">
        <f>Calculation!AE$32</f>
        <v>FY 2043-44</v>
      </c>
      <c r="AE32" s="260" t="str">
        <f>Calculation!AF$32</f>
        <v>FY 2044-45</v>
      </c>
      <c r="AF32" s="260" t="str">
        <f>Calculation!AG$32</f>
        <v>FY 2045-46</v>
      </c>
      <c r="AG32" s="260" t="str">
        <f>Calculation!AH$32</f>
        <v>FY 2046-47</v>
      </c>
      <c r="AH32" s="260" t="str">
        <f>Calculation!AI$32</f>
        <v>FY 2047-48</v>
      </c>
      <c r="AI32" s="260" t="str">
        <f>Calculation!AJ$32</f>
        <v>FY 2048-49</v>
      </c>
    </row>
    <row r="33" spans="1:97" x14ac:dyDescent="0.25">
      <c r="A33" s="211"/>
      <c r="B33" s="220">
        <f>+'Option inputs'!$B$14</f>
        <v>0</v>
      </c>
      <c r="C33" s="261" t="str">
        <f>'Option inputs'!$C$14</f>
        <v>Base case</v>
      </c>
      <c r="D33" s="218"/>
      <c r="E33" s="220" t="s">
        <v>35</v>
      </c>
      <c r="F33" s="254">
        <v>0</v>
      </c>
      <c r="G33" s="254">
        <v>0</v>
      </c>
      <c r="H33" s="254">
        <v>0</v>
      </c>
      <c r="I33" s="254">
        <v>0</v>
      </c>
      <c r="J33" s="254">
        <v>0</v>
      </c>
      <c r="K33" s="254">
        <v>0</v>
      </c>
      <c r="L33" s="254">
        <v>0</v>
      </c>
      <c r="M33" s="254">
        <v>0</v>
      </c>
      <c r="N33" s="254">
        <v>0</v>
      </c>
      <c r="O33" s="254">
        <v>0</v>
      </c>
      <c r="P33" s="254">
        <v>0</v>
      </c>
      <c r="Q33" s="254">
        <v>0</v>
      </c>
      <c r="R33" s="254">
        <v>0</v>
      </c>
      <c r="S33" s="254">
        <v>0</v>
      </c>
      <c r="T33" s="254">
        <v>0</v>
      </c>
      <c r="U33" s="254">
        <v>0</v>
      </c>
      <c r="V33" s="254">
        <v>0</v>
      </c>
      <c r="W33" s="254">
        <v>0</v>
      </c>
      <c r="X33" s="254">
        <v>0</v>
      </c>
      <c r="Y33" s="254">
        <v>0</v>
      </c>
      <c r="Z33" s="254">
        <v>0</v>
      </c>
      <c r="AA33" s="254">
        <v>0</v>
      </c>
      <c r="AB33" s="254">
        <v>0</v>
      </c>
      <c r="AC33" s="254">
        <v>0</v>
      </c>
      <c r="AD33" s="254">
        <v>0</v>
      </c>
      <c r="AE33" s="254">
        <v>0</v>
      </c>
      <c r="AF33" s="254"/>
      <c r="AG33" s="254"/>
      <c r="AH33" s="254"/>
      <c r="AI33" s="254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  <c r="BI33" s="208"/>
      <c r="BJ33" s="208"/>
      <c r="BK33" s="208"/>
      <c r="BL33" s="262"/>
      <c r="BM33" s="262"/>
      <c r="BN33" s="208"/>
      <c r="BO33" s="208"/>
      <c r="BP33" s="208"/>
      <c r="BQ33" s="208"/>
      <c r="BR33" s="208"/>
      <c r="BS33" s="208"/>
      <c r="BT33" s="208"/>
      <c r="BU33" s="208"/>
      <c r="BV33" s="208"/>
      <c r="BW33" s="208"/>
      <c r="BX33" s="208"/>
      <c r="BY33" s="208"/>
      <c r="BZ33" s="208"/>
      <c r="CA33" s="208"/>
      <c r="CB33" s="208"/>
      <c r="CC33" s="208"/>
      <c r="CD33" s="208"/>
      <c r="CE33" s="208"/>
      <c r="CF33" s="208"/>
      <c r="CG33" s="208"/>
      <c r="CH33" s="208"/>
      <c r="CI33" s="208"/>
      <c r="CJ33" s="208"/>
      <c r="CK33" s="208"/>
      <c r="CL33" s="208"/>
      <c r="CM33" s="208"/>
      <c r="CN33" s="208"/>
      <c r="CO33" s="208"/>
      <c r="CP33" s="208"/>
      <c r="CQ33" s="208"/>
      <c r="CR33" s="208"/>
      <c r="CS33" s="208"/>
    </row>
    <row r="34" spans="1:97" x14ac:dyDescent="0.25">
      <c r="A34" s="211"/>
      <c r="B34" s="220">
        <f>+'Option inputs'!$B$15</f>
        <v>1</v>
      </c>
      <c r="C34" s="263" t="str">
        <f>'Option inputs'!$C$15</f>
        <v>Option 1A</v>
      </c>
      <c r="D34" s="218"/>
      <c r="E34" s="220" t="s">
        <v>35</v>
      </c>
      <c r="F34" s="254">
        <v>0</v>
      </c>
      <c r="G34" s="254">
        <v>0</v>
      </c>
      <c r="H34" s="254">
        <v>0</v>
      </c>
      <c r="I34" s="254">
        <v>2300100</v>
      </c>
      <c r="J34" s="254">
        <v>2300100</v>
      </c>
      <c r="K34" s="254">
        <v>2300100</v>
      </c>
      <c r="L34" s="254">
        <v>2300100</v>
      </c>
      <c r="M34" s="254">
        <v>2300100</v>
      </c>
      <c r="N34" s="254">
        <v>2300100</v>
      </c>
      <c r="O34" s="254">
        <v>2300100</v>
      </c>
      <c r="P34" s="254">
        <v>2300100</v>
      </c>
      <c r="Q34" s="254">
        <v>2300100</v>
      </c>
      <c r="R34" s="254">
        <v>2300100</v>
      </c>
      <c r="S34" s="254">
        <v>2300100</v>
      </c>
      <c r="T34" s="254">
        <v>2300100</v>
      </c>
      <c r="U34" s="254">
        <v>2300100</v>
      </c>
      <c r="V34" s="254">
        <v>2300100</v>
      </c>
      <c r="W34" s="254">
        <v>10700100</v>
      </c>
      <c r="X34" s="254">
        <v>2340100</v>
      </c>
      <c r="Y34" s="254">
        <v>2300100</v>
      </c>
      <c r="Z34" s="254">
        <v>2300100</v>
      </c>
      <c r="AA34" s="254">
        <v>2300100</v>
      </c>
      <c r="AB34" s="254">
        <v>2300100</v>
      </c>
      <c r="AC34" s="254">
        <v>2300100</v>
      </c>
      <c r="AD34" s="254">
        <v>2300100</v>
      </c>
      <c r="AE34" s="254">
        <v>2300100</v>
      </c>
      <c r="AF34" s="254"/>
      <c r="AG34" s="254"/>
      <c r="AH34" s="254"/>
      <c r="AI34" s="254"/>
      <c r="AJ34" s="262"/>
      <c r="AK34" s="264"/>
      <c r="AL34" s="208"/>
      <c r="AM34" s="262"/>
      <c r="AN34" s="262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62"/>
      <c r="BH34" s="262"/>
      <c r="BI34" s="262"/>
      <c r="BJ34" s="262"/>
      <c r="BK34" s="262"/>
      <c r="BL34" s="262"/>
      <c r="BM34" s="262"/>
      <c r="BN34" s="208"/>
      <c r="BO34" s="208"/>
      <c r="BP34" s="208"/>
      <c r="BQ34" s="208"/>
      <c r="BR34" s="208"/>
      <c r="BS34" s="208"/>
      <c r="BT34" s="208"/>
      <c r="BU34" s="208"/>
      <c r="BV34" s="208"/>
      <c r="BW34" s="208"/>
      <c r="BX34" s="208"/>
      <c r="BY34" s="208"/>
      <c r="BZ34" s="208"/>
      <c r="CA34" s="208"/>
      <c r="CB34" s="208"/>
      <c r="CC34" s="208"/>
      <c r="CD34" s="208"/>
      <c r="CE34" s="208"/>
      <c r="CF34" s="208"/>
      <c r="CG34" s="208"/>
      <c r="CH34" s="208"/>
      <c r="CI34" s="208"/>
      <c r="CJ34" s="208"/>
      <c r="CK34" s="208"/>
      <c r="CL34" s="208"/>
      <c r="CM34" s="208"/>
      <c r="CN34" s="208"/>
      <c r="CO34" s="208"/>
      <c r="CP34" s="208"/>
      <c r="CQ34" s="208"/>
      <c r="CR34" s="208"/>
      <c r="CS34" s="208"/>
    </row>
    <row r="35" spans="1:97" x14ac:dyDescent="0.25">
      <c r="A35" s="211"/>
      <c r="B35" s="220">
        <f>+'Option inputs'!$B$16</f>
        <v>2</v>
      </c>
      <c r="C35" s="263" t="str">
        <f>'Option inputs'!$C$16</f>
        <v>Option 1B</v>
      </c>
      <c r="D35" s="218"/>
      <c r="E35" s="220" t="s">
        <v>35</v>
      </c>
      <c r="F35" s="254">
        <v>0</v>
      </c>
      <c r="G35" s="254">
        <v>0</v>
      </c>
      <c r="H35" s="254">
        <v>0</v>
      </c>
      <c r="I35" s="254">
        <v>432910.97579387005</v>
      </c>
      <c r="J35" s="254">
        <v>432910.97579387005</v>
      </c>
      <c r="K35" s="254">
        <v>432910.97579387005</v>
      </c>
      <c r="L35" s="254">
        <v>432910.97579387005</v>
      </c>
      <c r="M35" s="254">
        <v>432910.97579387005</v>
      </c>
      <c r="N35" s="254">
        <v>432910.97579387005</v>
      </c>
      <c r="O35" s="254">
        <v>432910.97579387005</v>
      </c>
      <c r="P35" s="254">
        <v>432910.97579387005</v>
      </c>
      <c r="Q35" s="254">
        <v>432910.97579387005</v>
      </c>
      <c r="R35" s="254">
        <v>432910.97579387005</v>
      </c>
      <c r="S35" s="254">
        <v>432910.97579387005</v>
      </c>
      <c r="T35" s="254">
        <v>432910.97579387005</v>
      </c>
      <c r="U35" s="254">
        <v>432910.97579387005</v>
      </c>
      <c r="V35" s="254">
        <v>432910.97579387005</v>
      </c>
      <c r="W35" s="254">
        <v>432910.97579387005</v>
      </c>
      <c r="X35" s="254">
        <v>432910.97579387005</v>
      </c>
      <c r="Y35" s="254">
        <v>432910.97579387005</v>
      </c>
      <c r="Z35" s="254">
        <v>432910.97579387005</v>
      </c>
      <c r="AA35" s="254">
        <v>432910.97579387005</v>
      </c>
      <c r="AB35" s="254">
        <v>432910.97579387005</v>
      </c>
      <c r="AC35" s="254">
        <v>432910.97579387005</v>
      </c>
      <c r="AD35" s="254">
        <v>432910.97579387005</v>
      </c>
      <c r="AE35" s="254">
        <v>432910.97579387005</v>
      </c>
      <c r="AF35" s="254"/>
      <c r="AG35" s="254"/>
      <c r="AH35" s="254"/>
      <c r="AI35" s="254"/>
      <c r="AJ35" s="262"/>
      <c r="AK35" s="264"/>
      <c r="AL35" s="208"/>
      <c r="AM35" s="262"/>
      <c r="AN35" s="262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62"/>
      <c r="BH35" s="262"/>
      <c r="BI35" s="262"/>
      <c r="BJ35" s="262"/>
      <c r="BK35" s="262"/>
      <c r="BL35" s="262"/>
      <c r="BM35" s="262"/>
      <c r="BN35" s="208"/>
      <c r="BO35" s="208"/>
      <c r="BP35" s="208"/>
      <c r="BQ35" s="208"/>
      <c r="BR35" s="208"/>
      <c r="BS35" s="208"/>
      <c r="BT35" s="208"/>
      <c r="BU35" s="208"/>
      <c r="BV35" s="208"/>
      <c r="BW35" s="208"/>
      <c r="BX35" s="208"/>
      <c r="BY35" s="208"/>
      <c r="BZ35" s="208"/>
      <c r="CA35" s="208"/>
      <c r="CB35" s="208"/>
      <c r="CC35" s="208"/>
      <c r="CD35" s="208"/>
      <c r="CE35" s="208"/>
      <c r="CF35" s="208"/>
      <c r="CG35" s="208"/>
      <c r="CH35" s="208"/>
      <c r="CI35" s="208"/>
      <c r="CJ35" s="208"/>
      <c r="CK35" s="208"/>
      <c r="CL35" s="208"/>
      <c r="CM35" s="208"/>
      <c r="CN35" s="208"/>
      <c r="CO35" s="208"/>
      <c r="CP35" s="208"/>
      <c r="CQ35" s="208"/>
      <c r="CR35" s="208"/>
      <c r="CS35" s="208"/>
    </row>
    <row r="36" spans="1:97" x14ac:dyDescent="0.25">
      <c r="A36" s="211"/>
      <c r="B36" s="220">
        <f>+'Option inputs'!$B$17</f>
        <v>3</v>
      </c>
      <c r="C36" s="263" t="str">
        <f>'Option inputs'!$C$17</f>
        <v>Option 1C</v>
      </c>
      <c r="D36" s="218"/>
      <c r="E36" s="220" t="s">
        <v>35</v>
      </c>
      <c r="F36" s="254">
        <v>0</v>
      </c>
      <c r="G36" s="254">
        <v>0</v>
      </c>
      <c r="H36" s="254">
        <v>0</v>
      </c>
      <c r="I36" s="254">
        <v>1867189.0242061298</v>
      </c>
      <c r="J36" s="254">
        <v>1867189.0242061298</v>
      </c>
      <c r="K36" s="254">
        <v>1867189.0242061298</v>
      </c>
      <c r="L36" s="254">
        <v>1867189.0242061298</v>
      </c>
      <c r="M36" s="254">
        <v>1867189.0242061298</v>
      </c>
      <c r="N36" s="254">
        <v>1867189.0242061298</v>
      </c>
      <c r="O36" s="254">
        <v>1867189.0242061298</v>
      </c>
      <c r="P36" s="254">
        <v>1867189.0242061298</v>
      </c>
      <c r="Q36" s="254">
        <v>1867189.0242061298</v>
      </c>
      <c r="R36" s="254">
        <v>1867189.0242061298</v>
      </c>
      <c r="S36" s="254">
        <v>1867189.0242061298</v>
      </c>
      <c r="T36" s="254">
        <v>1867189.0242061298</v>
      </c>
      <c r="U36" s="254">
        <v>1867189.0242061298</v>
      </c>
      <c r="V36" s="254">
        <v>1867189.0242061298</v>
      </c>
      <c r="W36" s="254">
        <v>10267189.02420613</v>
      </c>
      <c r="X36" s="254">
        <v>1907189.0242061298</v>
      </c>
      <c r="Y36" s="254">
        <v>1867189.0242061298</v>
      </c>
      <c r="Z36" s="254">
        <v>1867189.0242061298</v>
      </c>
      <c r="AA36" s="254">
        <v>1867189.0242061298</v>
      </c>
      <c r="AB36" s="254">
        <v>1867189.0242061298</v>
      </c>
      <c r="AC36" s="254">
        <v>1867189.0242061298</v>
      </c>
      <c r="AD36" s="254">
        <v>1867189.0242061298</v>
      </c>
      <c r="AE36" s="254">
        <v>1867189.0242061298</v>
      </c>
      <c r="AF36" s="254"/>
      <c r="AG36" s="254"/>
      <c r="AH36" s="254"/>
      <c r="AI36" s="254"/>
      <c r="AJ36" s="262"/>
      <c r="AK36" s="264"/>
      <c r="AL36" s="208"/>
      <c r="AM36" s="262"/>
      <c r="AN36" s="262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62"/>
      <c r="BH36" s="262"/>
      <c r="BI36" s="262"/>
      <c r="BJ36" s="262"/>
      <c r="BK36" s="262"/>
      <c r="BL36" s="262"/>
      <c r="BM36" s="262"/>
      <c r="BN36" s="208"/>
      <c r="BO36" s="208"/>
      <c r="BP36" s="208"/>
      <c r="BQ36" s="208"/>
      <c r="BR36" s="208"/>
      <c r="BS36" s="208"/>
      <c r="BT36" s="208"/>
      <c r="BU36" s="208"/>
      <c r="BV36" s="208"/>
      <c r="BW36" s="208"/>
      <c r="BX36" s="208"/>
      <c r="BY36" s="208"/>
      <c r="BZ36" s="208"/>
      <c r="CA36" s="208"/>
      <c r="CB36" s="208"/>
      <c r="CC36" s="208"/>
      <c r="CD36" s="208"/>
      <c r="CE36" s="208"/>
      <c r="CF36" s="208"/>
      <c r="CG36" s="208"/>
      <c r="CH36" s="208"/>
      <c r="CI36" s="208"/>
      <c r="CJ36" s="208"/>
      <c r="CK36" s="208"/>
      <c r="CL36" s="208"/>
      <c r="CM36" s="208"/>
      <c r="CN36" s="208"/>
      <c r="CO36" s="208"/>
      <c r="CP36" s="208"/>
      <c r="CQ36" s="208"/>
      <c r="CR36" s="208"/>
      <c r="CS36" s="208"/>
    </row>
    <row r="37" spans="1:97" x14ac:dyDescent="0.25">
      <c r="A37" s="211"/>
      <c r="B37" s="220">
        <f>+'Option inputs'!$B$18</f>
        <v>4</v>
      </c>
      <c r="C37" s="263" t="str">
        <f>'Option inputs'!$C$18</f>
        <v>Option 1D</v>
      </c>
      <c r="D37" s="218"/>
      <c r="E37" s="220" t="s">
        <v>35</v>
      </c>
      <c r="F37" s="254">
        <v>0</v>
      </c>
      <c r="G37" s="254">
        <v>0</v>
      </c>
      <c r="H37" s="254">
        <v>0</v>
      </c>
      <c r="I37" s="254">
        <v>593386.34243838873</v>
      </c>
      <c r="J37" s="254">
        <v>593386.34243838873</v>
      </c>
      <c r="K37" s="254">
        <v>593386.34243838873</v>
      </c>
      <c r="L37" s="254">
        <v>593386.34243838873</v>
      </c>
      <c r="M37" s="254">
        <v>593386.34243838873</v>
      </c>
      <c r="N37" s="254">
        <v>593386.34243838873</v>
      </c>
      <c r="O37" s="254">
        <v>593386.34243838873</v>
      </c>
      <c r="P37" s="254">
        <v>593386.34243838873</v>
      </c>
      <c r="Q37" s="254">
        <v>593386.34243838873</v>
      </c>
      <c r="R37" s="254">
        <v>593386.34243838873</v>
      </c>
      <c r="S37" s="254">
        <v>593386.34243838873</v>
      </c>
      <c r="T37" s="254">
        <v>593386.34243838873</v>
      </c>
      <c r="U37" s="254">
        <v>593386.34243838873</v>
      </c>
      <c r="V37" s="254">
        <v>593386.34243838873</v>
      </c>
      <c r="W37" s="254">
        <v>593386.34243838873</v>
      </c>
      <c r="X37" s="254">
        <v>593386.34243838873</v>
      </c>
      <c r="Y37" s="254">
        <v>593386.34243838873</v>
      </c>
      <c r="Z37" s="254">
        <v>593386.34243838873</v>
      </c>
      <c r="AA37" s="254">
        <v>593386.34243838873</v>
      </c>
      <c r="AB37" s="254">
        <v>593386.34243838873</v>
      </c>
      <c r="AC37" s="254">
        <v>593386.34243838873</v>
      </c>
      <c r="AD37" s="254">
        <v>593386.34243838873</v>
      </c>
      <c r="AE37" s="254">
        <v>593386.34243838873</v>
      </c>
      <c r="AF37" s="254"/>
      <c r="AG37" s="254"/>
      <c r="AH37" s="254"/>
      <c r="AI37" s="254"/>
      <c r="AJ37" s="262"/>
      <c r="AK37" s="264"/>
      <c r="AL37" s="208"/>
      <c r="AM37" s="262"/>
      <c r="AN37" s="262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62"/>
      <c r="BH37" s="262"/>
      <c r="BI37" s="262"/>
      <c r="BJ37" s="262"/>
      <c r="BK37" s="262"/>
      <c r="BL37" s="262"/>
      <c r="BM37" s="262"/>
      <c r="BN37" s="208"/>
      <c r="BO37" s="208"/>
      <c r="BP37" s="208"/>
      <c r="BQ37" s="208"/>
      <c r="BR37" s="208"/>
      <c r="BS37" s="208"/>
      <c r="BT37" s="208"/>
      <c r="BU37" s="208"/>
      <c r="BV37" s="208"/>
      <c r="BW37" s="208"/>
      <c r="BX37" s="208"/>
      <c r="BY37" s="208"/>
      <c r="BZ37" s="208"/>
      <c r="CA37" s="208"/>
      <c r="CB37" s="208"/>
      <c r="CC37" s="208"/>
      <c r="CD37" s="208"/>
      <c r="CE37" s="208"/>
      <c r="CF37" s="208"/>
      <c r="CG37" s="208"/>
      <c r="CH37" s="208"/>
      <c r="CI37" s="208"/>
      <c r="CJ37" s="208"/>
      <c r="CK37" s="208"/>
      <c r="CL37" s="208"/>
      <c r="CM37" s="208"/>
      <c r="CN37" s="208"/>
      <c r="CO37" s="208"/>
      <c r="CP37" s="208"/>
      <c r="CQ37" s="208"/>
      <c r="CR37" s="208"/>
      <c r="CS37" s="208"/>
    </row>
    <row r="38" spans="1:97" x14ac:dyDescent="0.25">
      <c r="E38" s="215"/>
      <c r="AF38" s="207"/>
      <c r="AG38" s="207"/>
      <c r="AH38" s="207"/>
      <c r="AI38" s="207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  <c r="BI38" s="208"/>
      <c r="BJ38" s="208"/>
      <c r="BK38" s="208"/>
      <c r="BL38" s="208"/>
      <c r="BM38" s="208"/>
      <c r="BN38" s="208"/>
      <c r="BO38" s="208"/>
      <c r="BP38" s="208"/>
      <c r="BQ38" s="208"/>
      <c r="BR38" s="208"/>
      <c r="BS38" s="208"/>
      <c r="BT38" s="208"/>
      <c r="BU38" s="208"/>
      <c r="BV38" s="208"/>
      <c r="BW38" s="208"/>
      <c r="BX38" s="208"/>
      <c r="BY38" s="208"/>
      <c r="BZ38" s="208"/>
      <c r="CA38" s="208"/>
      <c r="CB38" s="208"/>
      <c r="CC38" s="208"/>
      <c r="CD38" s="208"/>
      <c r="CE38" s="208"/>
      <c r="CF38" s="208"/>
      <c r="CG38" s="208"/>
      <c r="CH38" s="208"/>
      <c r="CI38" s="208"/>
      <c r="CJ38" s="208"/>
      <c r="CK38" s="208"/>
      <c r="CL38" s="208"/>
      <c r="CM38" s="208"/>
      <c r="CN38" s="208"/>
      <c r="CO38" s="208"/>
      <c r="CP38" s="208"/>
      <c r="CQ38" s="208"/>
      <c r="CR38" s="208"/>
      <c r="CS38" s="208"/>
    </row>
    <row r="39" spans="1:97" ht="13" x14ac:dyDescent="0.3">
      <c r="B39" s="212" t="s">
        <v>25</v>
      </c>
      <c r="C39" s="213"/>
      <c r="D39" s="212"/>
      <c r="E39" s="265"/>
      <c r="F39" s="212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266"/>
      <c r="T39" s="266"/>
      <c r="U39" s="266"/>
      <c r="V39" s="266"/>
      <c r="W39" s="266"/>
      <c r="X39" s="266"/>
      <c r="Y39" s="266"/>
      <c r="Z39" s="266"/>
      <c r="AA39" s="266"/>
      <c r="AB39" s="266"/>
      <c r="AC39" s="266"/>
      <c r="AD39" s="266"/>
      <c r="AE39" s="266"/>
      <c r="AF39" s="212"/>
      <c r="AG39" s="212"/>
      <c r="AH39" s="212"/>
      <c r="AI39" s="212"/>
      <c r="AJ39" s="208"/>
      <c r="AK39" s="208"/>
      <c r="AL39" s="208"/>
      <c r="AM39" s="208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  <c r="AX39" s="208"/>
      <c r="AY39" s="208"/>
      <c r="AZ39" s="208"/>
      <c r="BA39" s="208"/>
      <c r="BB39" s="208"/>
      <c r="BC39" s="208"/>
      <c r="BD39" s="208"/>
      <c r="BE39" s="208"/>
      <c r="BF39" s="208"/>
      <c r="BG39" s="208"/>
      <c r="BH39" s="208"/>
      <c r="BI39" s="208"/>
      <c r="BJ39" s="208"/>
      <c r="BK39" s="208"/>
      <c r="BL39" s="208"/>
      <c r="BM39" s="208"/>
      <c r="BN39" s="208"/>
      <c r="BO39" s="208"/>
      <c r="BP39" s="208"/>
      <c r="BQ39" s="208"/>
      <c r="BR39" s="208"/>
      <c r="BS39" s="208"/>
      <c r="BT39" s="208"/>
      <c r="BU39" s="208"/>
      <c r="BV39" s="208"/>
      <c r="BW39" s="208"/>
      <c r="BX39" s="208"/>
      <c r="BY39" s="208"/>
      <c r="BZ39" s="208"/>
      <c r="CA39" s="208"/>
      <c r="CB39" s="208"/>
      <c r="CC39" s="208"/>
      <c r="CD39" s="208"/>
      <c r="CE39" s="208"/>
      <c r="CF39" s="208"/>
      <c r="CG39" s="208"/>
      <c r="CH39" s="208"/>
      <c r="CI39" s="208"/>
      <c r="CJ39" s="208"/>
      <c r="CK39" s="208"/>
      <c r="CL39" s="208"/>
      <c r="CM39" s="208"/>
      <c r="CN39" s="208"/>
      <c r="CO39" s="208"/>
      <c r="CP39" s="208"/>
      <c r="CQ39" s="208"/>
      <c r="CR39" s="208"/>
      <c r="CS39" s="208"/>
    </row>
    <row r="40" spans="1:97" x14ac:dyDescent="0.25">
      <c r="B40" s="252"/>
      <c r="E40" s="215"/>
      <c r="G40" s="231"/>
      <c r="H40" s="231"/>
      <c r="I40" s="231"/>
      <c r="J40" s="231"/>
      <c r="K40" s="231"/>
      <c r="L40" s="231"/>
      <c r="M40" s="231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Z40" s="231"/>
      <c r="AA40" s="231"/>
      <c r="AB40" s="231"/>
      <c r="AC40" s="231"/>
      <c r="AD40" s="231"/>
      <c r="AE40" s="231"/>
      <c r="AF40" s="207"/>
      <c r="AG40" s="207"/>
      <c r="AH40" s="207"/>
      <c r="AI40" s="207"/>
      <c r="AJ40" s="208"/>
      <c r="AK40" s="208"/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  <c r="BI40" s="208"/>
      <c r="BJ40" s="208"/>
      <c r="BK40" s="208"/>
      <c r="BL40" s="208"/>
      <c r="BM40" s="208"/>
      <c r="BN40" s="208"/>
      <c r="BO40" s="208"/>
      <c r="BP40" s="208"/>
      <c r="BQ40" s="208"/>
      <c r="BR40" s="208"/>
      <c r="BS40" s="208"/>
      <c r="BT40" s="208"/>
      <c r="BU40" s="208"/>
      <c r="BV40" s="208"/>
      <c r="BW40" s="208"/>
      <c r="BX40" s="208"/>
      <c r="BY40" s="208"/>
      <c r="BZ40" s="208"/>
      <c r="CA40" s="208"/>
      <c r="CB40" s="208"/>
      <c r="CC40" s="208"/>
      <c r="CD40" s="208"/>
      <c r="CE40" s="208"/>
      <c r="CF40" s="208"/>
      <c r="CG40" s="208"/>
      <c r="CH40" s="208"/>
      <c r="CI40" s="208"/>
      <c r="CJ40" s="208"/>
      <c r="CK40" s="208"/>
      <c r="CL40" s="208"/>
      <c r="CM40" s="208"/>
      <c r="CN40" s="208"/>
      <c r="CO40" s="208"/>
      <c r="CP40" s="208"/>
      <c r="CQ40" s="208"/>
      <c r="CR40" s="208"/>
      <c r="CS40" s="208"/>
    </row>
    <row r="41" spans="1:97" ht="13" x14ac:dyDescent="0.3">
      <c r="B41" s="257" t="s">
        <v>70</v>
      </c>
      <c r="C41" s="258"/>
      <c r="D41" s="257"/>
      <c r="E41" s="267" t="s">
        <v>31</v>
      </c>
      <c r="F41" s="268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57"/>
      <c r="AD41" s="257"/>
      <c r="AE41" s="257"/>
      <c r="AF41" s="257"/>
      <c r="AG41" s="257"/>
      <c r="AH41" s="257"/>
      <c r="AI41" s="257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8"/>
      <c r="AX41" s="208"/>
      <c r="AY41" s="208"/>
      <c r="AZ41" s="208"/>
      <c r="BA41" s="208"/>
      <c r="BB41" s="208"/>
      <c r="BC41" s="208"/>
      <c r="BD41" s="208"/>
      <c r="BE41" s="208"/>
      <c r="BF41" s="208"/>
      <c r="BG41" s="208"/>
      <c r="BH41" s="208"/>
      <c r="BI41" s="208"/>
      <c r="BJ41" s="208"/>
      <c r="BK41" s="208"/>
      <c r="BL41" s="208"/>
      <c r="BM41" s="208"/>
      <c r="BN41" s="208"/>
      <c r="BO41" s="208"/>
      <c r="BP41" s="208"/>
      <c r="BQ41" s="208"/>
      <c r="BR41" s="208"/>
      <c r="BS41" s="208"/>
      <c r="BT41" s="208"/>
      <c r="BU41" s="208"/>
      <c r="BV41" s="208"/>
      <c r="BW41" s="208"/>
      <c r="BX41" s="208"/>
      <c r="BY41" s="208"/>
      <c r="BZ41" s="208"/>
      <c r="CA41" s="208"/>
      <c r="CB41" s="208"/>
      <c r="CC41" s="208"/>
      <c r="CD41" s="208"/>
      <c r="CE41" s="208"/>
      <c r="CF41" s="208"/>
      <c r="CG41" s="208"/>
      <c r="CH41" s="208"/>
      <c r="CI41" s="208"/>
      <c r="CJ41" s="208"/>
      <c r="CK41" s="208"/>
      <c r="CL41" s="208"/>
      <c r="CM41" s="208"/>
      <c r="CN41" s="208"/>
      <c r="CO41" s="208"/>
      <c r="CP41" s="208"/>
      <c r="CQ41" s="208"/>
      <c r="CR41" s="208"/>
      <c r="CS41" s="208"/>
    </row>
    <row r="42" spans="1:97" s="208" customFormat="1" ht="13" x14ac:dyDescent="0.3">
      <c r="A42" s="230"/>
      <c r="B42" s="269"/>
      <c r="C42" s="270"/>
      <c r="D42" s="269"/>
      <c r="E42" s="271"/>
      <c r="F42" s="271"/>
      <c r="G42" s="271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69"/>
      <c r="AA42" s="269"/>
      <c r="AB42" s="269"/>
      <c r="AC42" s="269"/>
      <c r="AD42" s="269"/>
      <c r="AE42" s="269"/>
      <c r="AF42" s="269"/>
      <c r="AG42" s="269"/>
      <c r="AH42" s="269"/>
      <c r="AI42" s="269"/>
    </row>
    <row r="43" spans="1:97" ht="13" x14ac:dyDescent="0.3">
      <c r="B43" s="165" t="s">
        <v>14</v>
      </c>
      <c r="C43" s="216" t="s">
        <v>13</v>
      </c>
      <c r="D43" s="216" t="s">
        <v>93</v>
      </c>
      <c r="E43" s="217" t="s">
        <v>7</v>
      </c>
      <c r="F43" s="260" t="str">
        <f>Calculation!G$32</f>
        <v>FY 2019-20</v>
      </c>
      <c r="G43" s="260" t="str">
        <f>Calculation!H$32</f>
        <v>FY 2020-21</v>
      </c>
      <c r="H43" s="260" t="str">
        <f>Calculation!I$32</f>
        <v>FY 2021-22</v>
      </c>
      <c r="I43" s="260" t="str">
        <f>Calculation!J$32</f>
        <v>FY 2022-23</v>
      </c>
      <c r="J43" s="260" t="str">
        <f>Calculation!K$32</f>
        <v>FY 2023-24</v>
      </c>
      <c r="K43" s="260" t="str">
        <f>Calculation!L$32</f>
        <v>FY 2024-25</v>
      </c>
      <c r="L43" s="260" t="str">
        <f>Calculation!M$32</f>
        <v>FY 2025-26</v>
      </c>
      <c r="M43" s="260" t="str">
        <f>Calculation!N$32</f>
        <v>FY 2026-27</v>
      </c>
      <c r="N43" s="260" t="str">
        <f>Calculation!O$32</f>
        <v>FY 2027-28</v>
      </c>
      <c r="O43" s="260" t="str">
        <f>Calculation!P$32</f>
        <v>FY 2028-29</v>
      </c>
      <c r="P43" s="260" t="str">
        <f>Calculation!Q$32</f>
        <v>FY 2029-30</v>
      </c>
      <c r="Q43" s="260" t="str">
        <f>Calculation!R$32</f>
        <v>FY 2030-31</v>
      </c>
      <c r="R43" s="260" t="str">
        <f>Calculation!S$32</f>
        <v>FY 2031-32</v>
      </c>
      <c r="S43" s="260" t="str">
        <f>Calculation!T$32</f>
        <v>FY 2032-33</v>
      </c>
      <c r="T43" s="260" t="str">
        <f>Calculation!U$32</f>
        <v>FY 2033-34</v>
      </c>
      <c r="U43" s="260" t="str">
        <f>Calculation!V$32</f>
        <v>FY 2034-35</v>
      </c>
      <c r="V43" s="260" t="str">
        <f>Calculation!W$32</f>
        <v>FY 2035-36</v>
      </c>
      <c r="W43" s="260" t="str">
        <f>Calculation!X$32</f>
        <v>FY 2036-37</v>
      </c>
      <c r="X43" s="260" t="str">
        <f>Calculation!Y$32</f>
        <v>FY 2037-38</v>
      </c>
      <c r="Y43" s="260" t="str">
        <f>Calculation!Z$32</f>
        <v>FY 2038-39</v>
      </c>
      <c r="Z43" s="260" t="str">
        <f>Calculation!AA$32</f>
        <v>FY 2039-40</v>
      </c>
      <c r="AA43" s="260" t="str">
        <f>Calculation!AB$32</f>
        <v>FY 2040-41</v>
      </c>
      <c r="AB43" s="260" t="str">
        <f>Calculation!AC$32</f>
        <v>FY 2041-42</v>
      </c>
      <c r="AC43" s="260" t="str">
        <f>Calculation!AD$32</f>
        <v>FY 2042-43</v>
      </c>
      <c r="AD43" s="260" t="str">
        <f>Calculation!AE$32</f>
        <v>FY 2043-44</v>
      </c>
      <c r="AE43" s="260" t="str">
        <f>Calculation!AF$32</f>
        <v>FY 2044-45</v>
      </c>
      <c r="AF43" s="260" t="str">
        <f>Calculation!AG$32</f>
        <v>FY 2045-46</v>
      </c>
      <c r="AG43" s="260" t="str">
        <f>Calculation!AH$32</f>
        <v>FY 2046-47</v>
      </c>
      <c r="AH43" s="260" t="str">
        <f>Calculation!AI$32</f>
        <v>FY 2047-48</v>
      </c>
      <c r="AI43" s="260" t="str">
        <f>Calculation!AJ$32</f>
        <v>FY 2048-49</v>
      </c>
      <c r="AJ43" s="208"/>
      <c r="AK43" s="272"/>
      <c r="AL43" s="272"/>
      <c r="AM43" s="272"/>
      <c r="AN43" s="272"/>
      <c r="AO43" s="272"/>
      <c r="AP43" s="272"/>
      <c r="AQ43" s="272"/>
      <c r="AR43" s="272"/>
      <c r="AS43" s="272"/>
      <c r="AT43" s="272"/>
      <c r="AU43" s="272"/>
      <c r="AV43" s="272"/>
      <c r="AW43" s="272"/>
      <c r="AX43" s="272"/>
      <c r="AY43" s="272"/>
      <c r="AZ43" s="272"/>
      <c r="BA43" s="272"/>
      <c r="BB43" s="272"/>
      <c r="BC43" s="272"/>
      <c r="BD43" s="272"/>
      <c r="BE43" s="272"/>
      <c r="BF43" s="272"/>
      <c r="BG43" s="272"/>
      <c r="BH43" s="272"/>
      <c r="BI43" s="272"/>
      <c r="BJ43" s="272"/>
      <c r="BK43" s="272"/>
      <c r="BL43" s="272"/>
      <c r="BM43" s="272"/>
      <c r="BN43" s="272"/>
      <c r="BO43" s="208"/>
      <c r="BP43" s="208"/>
      <c r="BQ43" s="208"/>
      <c r="BR43" s="208"/>
      <c r="BS43" s="208"/>
      <c r="BT43" s="208"/>
      <c r="BU43" s="208"/>
      <c r="BV43" s="208"/>
      <c r="BW43" s="208"/>
      <c r="BX43" s="208"/>
      <c r="BY43" s="208"/>
      <c r="BZ43" s="208"/>
      <c r="CA43" s="208"/>
      <c r="CB43" s="208"/>
      <c r="CC43" s="208"/>
      <c r="CD43" s="208"/>
      <c r="CE43" s="208"/>
      <c r="CF43" s="208"/>
      <c r="CG43" s="208"/>
      <c r="CH43" s="208"/>
      <c r="CI43" s="208"/>
      <c r="CJ43" s="208"/>
      <c r="CK43" s="208"/>
      <c r="CL43" s="208"/>
      <c r="CM43" s="208"/>
      <c r="CN43" s="208"/>
      <c r="CO43" s="208"/>
      <c r="CP43" s="208"/>
      <c r="CQ43" s="208"/>
      <c r="CR43" s="208"/>
      <c r="CS43" s="208"/>
    </row>
    <row r="44" spans="1:97" x14ac:dyDescent="0.25">
      <c r="B44" s="220">
        <f>+'Option inputs'!$B$14</f>
        <v>0</v>
      </c>
      <c r="C44" s="261" t="str">
        <f>'Option inputs'!$C$14</f>
        <v>Base case</v>
      </c>
      <c r="D44" s="218"/>
      <c r="E44" s="220" t="s">
        <v>35</v>
      </c>
      <c r="F44" s="254">
        <v>0</v>
      </c>
      <c r="G44" s="254">
        <v>669319.89620105899</v>
      </c>
      <c r="H44" s="254">
        <v>8974683.1704101488</v>
      </c>
      <c r="I44" s="254">
        <v>93133916.028909191</v>
      </c>
      <c r="J44" s="254">
        <v>75503385.770087481</v>
      </c>
      <c r="K44" s="254">
        <v>153241422.04863584</v>
      </c>
      <c r="L44" s="254">
        <v>1.9516463883697013</v>
      </c>
      <c r="M44" s="254">
        <v>2.0667270342573358</v>
      </c>
      <c r="N44" s="254">
        <v>2.1949392418143936</v>
      </c>
      <c r="O44" s="254">
        <v>18601953.594450243</v>
      </c>
      <c r="P44" s="254">
        <v>57103455.884552993</v>
      </c>
      <c r="Q44" s="254">
        <v>6948685.8537674733</v>
      </c>
      <c r="R44" s="254">
        <v>8984026.7554996666</v>
      </c>
      <c r="S44" s="254">
        <v>9291842.3068191279</v>
      </c>
      <c r="T44" s="254">
        <v>25204808.809661768</v>
      </c>
      <c r="U44" s="254">
        <v>1033434.9599760644</v>
      </c>
      <c r="V44" s="254">
        <v>147258925.35255548</v>
      </c>
      <c r="W44" s="254">
        <v>3.6537391608778305</v>
      </c>
      <c r="X44" s="254">
        <v>3.8644851396460362</v>
      </c>
      <c r="Y44" s="254">
        <v>4573706.3953135647</v>
      </c>
      <c r="Z44" s="254">
        <v>22856310.369657043</v>
      </c>
      <c r="AA44" s="254">
        <v>29523772.916603133</v>
      </c>
      <c r="AB44" s="254">
        <v>50341658.490665719</v>
      </c>
      <c r="AC44" s="254">
        <v>25687170.259898018</v>
      </c>
      <c r="AD44" s="254">
        <v>134188431.29032582</v>
      </c>
      <c r="AE44" s="254">
        <v>5.749499879364234</v>
      </c>
      <c r="AF44" s="254"/>
      <c r="AG44" s="254"/>
      <c r="AH44" s="254"/>
      <c r="AI44" s="254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08"/>
      <c r="BP44" s="208"/>
      <c r="BQ44" s="208"/>
      <c r="BR44" s="208"/>
      <c r="BS44" s="208"/>
      <c r="BT44" s="208"/>
      <c r="BU44" s="208"/>
      <c r="BV44" s="208"/>
      <c r="BW44" s="208"/>
      <c r="BX44" s="208"/>
      <c r="BY44" s="208"/>
      <c r="BZ44" s="208"/>
      <c r="CA44" s="208"/>
      <c r="CB44" s="208"/>
      <c r="CC44" s="208"/>
      <c r="CD44" s="208"/>
      <c r="CE44" s="208"/>
      <c r="CF44" s="208"/>
      <c r="CG44" s="208"/>
      <c r="CH44" s="208"/>
      <c r="CI44" s="208"/>
      <c r="CJ44" s="208"/>
      <c r="CK44" s="208"/>
      <c r="CL44" s="208"/>
      <c r="CM44" s="208"/>
      <c r="CN44" s="208"/>
      <c r="CO44" s="208"/>
      <c r="CP44" s="208"/>
      <c r="CQ44" s="208"/>
      <c r="CR44" s="208"/>
      <c r="CS44" s="208"/>
    </row>
    <row r="45" spans="1:97" x14ac:dyDescent="0.25">
      <c r="B45" s="220">
        <f>+'Option inputs'!$B$15</f>
        <v>1</v>
      </c>
      <c r="C45" s="263" t="str">
        <f>'Option inputs'!$C$15</f>
        <v>Option 1A</v>
      </c>
      <c r="D45" s="218"/>
      <c r="E45" s="220" t="s">
        <v>35</v>
      </c>
      <c r="F45" s="254">
        <v>0</v>
      </c>
      <c r="G45" s="254">
        <v>669319.50853139744</v>
      </c>
      <c r="H45" s="254">
        <v>8974684.0517037679</v>
      </c>
      <c r="I45" s="254">
        <v>93671012.689903006</v>
      </c>
      <c r="J45" s="254">
        <v>65136623.355822809</v>
      </c>
      <c r="K45" s="254">
        <v>147903865.05103746</v>
      </c>
      <c r="L45" s="254">
        <v>0.89461992872698937</v>
      </c>
      <c r="M45" s="254">
        <v>0.94735556032488288</v>
      </c>
      <c r="N45" s="254">
        <v>1.0061388394789443</v>
      </c>
      <c r="O45" s="254">
        <v>22170467.386919625</v>
      </c>
      <c r="P45" s="254">
        <v>57662847.999607809</v>
      </c>
      <c r="Q45" s="254">
        <v>6139575.3441310581</v>
      </c>
      <c r="R45" s="254">
        <v>9202964.2115253657</v>
      </c>
      <c r="S45" s="254">
        <v>9103417.169549685</v>
      </c>
      <c r="T45" s="254">
        <v>28353353.773952968</v>
      </c>
      <c r="U45" s="254">
        <v>1.4923809840194011</v>
      </c>
      <c r="V45" s="254">
        <v>145017515.67891064</v>
      </c>
      <c r="W45" s="254">
        <v>1.6748397088226532</v>
      </c>
      <c r="X45" s="254">
        <v>1.7714436490658891</v>
      </c>
      <c r="Y45" s="254">
        <v>4573748.1507636392</v>
      </c>
      <c r="Z45" s="254">
        <v>14825890.084653426</v>
      </c>
      <c r="AA45" s="254">
        <v>40900618.019914962</v>
      </c>
      <c r="AB45" s="254">
        <v>53041114.325575754</v>
      </c>
      <c r="AC45" s="254">
        <v>26605585.320395675</v>
      </c>
      <c r="AD45" s="254">
        <v>137325621.26057237</v>
      </c>
      <c r="AE45" s="254">
        <v>2.6355388571173317</v>
      </c>
      <c r="AF45" s="254"/>
      <c r="AG45" s="254"/>
      <c r="AH45" s="254"/>
      <c r="AI45" s="254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08"/>
      <c r="BP45" s="208"/>
      <c r="BQ45" s="208"/>
      <c r="BR45" s="208"/>
      <c r="BS45" s="208"/>
      <c r="BT45" s="208"/>
      <c r="BU45" s="208"/>
      <c r="BV45" s="208"/>
      <c r="BW45" s="208"/>
      <c r="BX45" s="208"/>
      <c r="BY45" s="208"/>
      <c r="BZ45" s="208"/>
      <c r="CA45" s="208"/>
      <c r="CB45" s="208"/>
      <c r="CC45" s="208"/>
      <c r="CD45" s="208"/>
      <c r="CE45" s="208"/>
      <c r="CF45" s="208"/>
      <c r="CG45" s="208"/>
      <c r="CH45" s="208"/>
      <c r="CI45" s="208"/>
      <c r="CJ45" s="208"/>
      <c r="CK45" s="208"/>
      <c r="CL45" s="208"/>
      <c r="CM45" s="208"/>
      <c r="CN45" s="208"/>
      <c r="CO45" s="208"/>
      <c r="CP45" s="208"/>
      <c r="CQ45" s="208"/>
      <c r="CR45" s="208"/>
      <c r="CS45" s="208"/>
    </row>
    <row r="46" spans="1:97" x14ac:dyDescent="0.25">
      <c r="B46" s="220">
        <f>+'Option inputs'!$B$16</f>
        <v>2</v>
      </c>
      <c r="C46" s="263" t="str">
        <f>'Option inputs'!$C$16</f>
        <v>Option 1B</v>
      </c>
      <c r="D46" s="218"/>
      <c r="E46" s="220" t="s">
        <v>35</v>
      </c>
      <c r="F46" s="254">
        <v>0</v>
      </c>
      <c r="G46" s="254">
        <v>669320.60930533626</v>
      </c>
      <c r="H46" s="254">
        <v>8974682.2971628457</v>
      </c>
      <c r="I46" s="254">
        <v>93085491.486093476</v>
      </c>
      <c r="J46" s="254">
        <v>67043337.062571183</v>
      </c>
      <c r="K46" s="254">
        <v>153734399.37926841</v>
      </c>
      <c r="L46" s="254">
        <v>3.7881510108867791</v>
      </c>
      <c r="M46" s="254">
        <v>4.011458057043555</v>
      </c>
      <c r="N46" s="254">
        <v>4.2603702406231481</v>
      </c>
      <c r="O46" s="254">
        <v>21338984.699837305</v>
      </c>
      <c r="P46" s="254">
        <v>56803468.978963315</v>
      </c>
      <c r="Q46" s="254">
        <v>6620753.1768715587</v>
      </c>
      <c r="R46" s="254">
        <v>8749836.1699983757</v>
      </c>
      <c r="S46" s="254">
        <v>8799485.7098885216</v>
      </c>
      <c r="T46" s="254">
        <v>30015082.586105622</v>
      </c>
      <c r="U46" s="254">
        <v>940841.2960739237</v>
      </c>
      <c r="V46" s="254">
        <v>145852323.98409244</v>
      </c>
      <c r="W46" s="254">
        <v>7.0919552098825491</v>
      </c>
      <c r="X46" s="254">
        <v>7.5009549795110191</v>
      </c>
      <c r="Y46" s="254">
        <v>4573740.0135227256</v>
      </c>
      <c r="Z46" s="254">
        <v>23739638.516215984</v>
      </c>
      <c r="AA46" s="254">
        <v>40513168.199082881</v>
      </c>
      <c r="AB46" s="254">
        <v>59504716.101058088</v>
      </c>
      <c r="AC46" s="254">
        <v>31624210.648277711</v>
      </c>
      <c r="AD46" s="254">
        <v>134786143.11349243</v>
      </c>
      <c r="AE46" s="254">
        <v>11.159833278234071</v>
      </c>
      <c r="AF46" s="254"/>
      <c r="AG46" s="254"/>
      <c r="AH46" s="254"/>
      <c r="AI46" s="254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08"/>
      <c r="BP46" s="208"/>
      <c r="BQ46" s="208"/>
      <c r="BR46" s="208"/>
      <c r="BS46" s="208"/>
      <c r="BT46" s="208"/>
      <c r="BU46" s="208"/>
      <c r="BV46" s="208"/>
      <c r="BW46" s="208"/>
      <c r="BX46" s="208"/>
      <c r="BY46" s="208"/>
      <c r="BZ46" s="208"/>
      <c r="CA46" s="208"/>
      <c r="CB46" s="208"/>
      <c r="CC46" s="208"/>
      <c r="CD46" s="208"/>
      <c r="CE46" s="208"/>
      <c r="CF46" s="208"/>
      <c r="CG46" s="208"/>
      <c r="CH46" s="208"/>
      <c r="CI46" s="208"/>
      <c r="CJ46" s="208"/>
      <c r="CK46" s="208"/>
      <c r="CL46" s="208"/>
      <c r="CM46" s="208"/>
      <c r="CN46" s="208"/>
      <c r="CO46" s="208"/>
      <c r="CP46" s="208"/>
      <c r="CQ46" s="208"/>
      <c r="CR46" s="208"/>
      <c r="CS46" s="208"/>
    </row>
    <row r="47" spans="1:97" x14ac:dyDescent="0.25">
      <c r="B47" s="220">
        <f>+'Option inputs'!$B$17</f>
        <v>3</v>
      </c>
      <c r="C47" s="263" t="str">
        <f>'Option inputs'!$C$17</f>
        <v>Option 1C</v>
      </c>
      <c r="D47" s="218"/>
      <c r="E47" s="220" t="s">
        <v>35</v>
      </c>
      <c r="F47" s="254">
        <v>0</v>
      </c>
      <c r="G47" s="254">
        <v>669319.52991988487</v>
      </c>
      <c r="H47" s="254">
        <v>8974684.1394687034</v>
      </c>
      <c r="I47" s="254">
        <v>88691785.208753169</v>
      </c>
      <c r="J47" s="254">
        <v>75167073.147659048</v>
      </c>
      <c r="K47" s="254">
        <v>140164547.51036328</v>
      </c>
      <c r="L47" s="254">
        <v>1.0188175614971948</v>
      </c>
      <c r="M47" s="254">
        <v>1.0788907511794592</v>
      </c>
      <c r="N47" s="254">
        <v>1.1458214763107861</v>
      </c>
      <c r="O47" s="254">
        <v>19100656.296362635</v>
      </c>
      <c r="P47" s="254">
        <v>50258160.460560299</v>
      </c>
      <c r="Q47" s="254">
        <v>4034952.191386722</v>
      </c>
      <c r="R47" s="254">
        <v>8897623.1809278801</v>
      </c>
      <c r="S47" s="254">
        <v>9145292.787288487</v>
      </c>
      <c r="T47" s="254">
        <v>22918462.318993997</v>
      </c>
      <c r="U47" s="254">
        <v>1.7000347014365393</v>
      </c>
      <c r="V47" s="254">
        <v>146948964.08335033</v>
      </c>
      <c r="W47" s="254">
        <v>1.9073468858955702</v>
      </c>
      <c r="X47" s="254">
        <v>2.0173593030250538</v>
      </c>
      <c r="Y47" s="254">
        <v>4573703.2220921572</v>
      </c>
      <c r="Z47" s="254">
        <v>17521920.335043907</v>
      </c>
      <c r="AA47" s="254">
        <v>29110905.152763091</v>
      </c>
      <c r="AB47" s="254">
        <v>49849205.780246392</v>
      </c>
      <c r="AC47" s="254">
        <v>25135150.239161812</v>
      </c>
      <c r="AD47" s="254">
        <v>135783144.37129989</v>
      </c>
      <c r="AE47" s="254">
        <v>3.0013789220277478</v>
      </c>
      <c r="AF47" s="254"/>
      <c r="AG47" s="254"/>
      <c r="AH47" s="254"/>
      <c r="AI47" s="254"/>
      <c r="AJ47" s="262"/>
      <c r="AK47" s="262"/>
      <c r="AL47" s="262"/>
      <c r="AM47" s="262"/>
      <c r="AN47" s="262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62"/>
      <c r="BH47" s="262"/>
      <c r="BI47" s="262"/>
      <c r="BJ47" s="262"/>
      <c r="BK47" s="262"/>
      <c r="BL47" s="262"/>
      <c r="BM47" s="262"/>
      <c r="BN47" s="262"/>
      <c r="BO47" s="208"/>
      <c r="BP47" s="208"/>
      <c r="BQ47" s="208"/>
      <c r="BR47" s="208"/>
      <c r="BS47" s="208"/>
      <c r="BT47" s="208"/>
      <c r="BU47" s="208"/>
      <c r="BV47" s="208"/>
      <c r="BW47" s="208"/>
      <c r="BX47" s="208"/>
      <c r="BY47" s="208"/>
      <c r="BZ47" s="208"/>
      <c r="CA47" s="208"/>
      <c r="CB47" s="208"/>
      <c r="CC47" s="208"/>
      <c r="CD47" s="208"/>
      <c r="CE47" s="208"/>
      <c r="CF47" s="208"/>
      <c r="CG47" s="208"/>
      <c r="CH47" s="208"/>
      <c r="CI47" s="208"/>
      <c r="CJ47" s="208"/>
      <c r="CK47" s="208"/>
      <c r="CL47" s="208"/>
      <c r="CM47" s="208"/>
      <c r="CN47" s="208"/>
      <c r="CO47" s="208"/>
      <c r="CP47" s="208"/>
      <c r="CQ47" s="208"/>
      <c r="CR47" s="208"/>
      <c r="CS47" s="208"/>
    </row>
    <row r="48" spans="1:97" x14ac:dyDescent="0.25">
      <c r="B48" s="220">
        <f>+'Option inputs'!$B$18</f>
        <v>4</v>
      </c>
      <c r="C48" s="263" t="str">
        <f>'Option inputs'!$C$18</f>
        <v>Option 1D</v>
      </c>
      <c r="D48" s="218"/>
      <c r="E48" s="220" t="s">
        <v>35</v>
      </c>
      <c r="F48" s="254">
        <v>0</v>
      </c>
      <c r="G48" s="254">
        <v>669319.47894910304</v>
      </c>
      <c r="H48" s="254">
        <v>8974684.020381229</v>
      </c>
      <c r="I48" s="254">
        <v>90224685.202233478</v>
      </c>
      <c r="J48" s="254">
        <v>79653758.250017226</v>
      </c>
      <c r="K48" s="254">
        <v>144399044.37054533</v>
      </c>
      <c r="L48" s="254">
        <v>0.85028683035218799</v>
      </c>
      <c r="M48" s="254">
        <v>0.90042339503534208</v>
      </c>
      <c r="N48" s="254">
        <v>0.95628196183178427</v>
      </c>
      <c r="O48" s="254">
        <v>19100717.731820177</v>
      </c>
      <c r="P48" s="254">
        <v>50242706.659781732</v>
      </c>
      <c r="Q48" s="254">
        <v>5112210.1110852454</v>
      </c>
      <c r="R48" s="254">
        <v>8853744.8988399729</v>
      </c>
      <c r="S48" s="254">
        <v>9043010.7829678841</v>
      </c>
      <c r="T48" s="254">
        <v>25067275.921310104</v>
      </c>
      <c r="U48" s="254">
        <v>1.4189689119627915</v>
      </c>
      <c r="V48" s="254">
        <v>146901610.05950782</v>
      </c>
      <c r="W48" s="254">
        <v>1.5918393378912512</v>
      </c>
      <c r="X48" s="254">
        <v>1.6836524336204901</v>
      </c>
      <c r="Y48" s="254">
        <v>4573733.3986042012</v>
      </c>
      <c r="Z48" s="254">
        <v>22648935.608741436</v>
      </c>
      <c r="AA48" s="254">
        <v>27952953.396040753</v>
      </c>
      <c r="AB48" s="254">
        <v>49238661.301004298</v>
      </c>
      <c r="AC48" s="254">
        <v>25207646.020968601</v>
      </c>
      <c r="AD48" s="254">
        <v>134002678.65852585</v>
      </c>
      <c r="AE48" s="254">
        <v>2.5049044766286661</v>
      </c>
      <c r="AF48" s="254"/>
      <c r="AG48" s="254"/>
      <c r="AH48" s="254"/>
      <c r="AI48" s="254"/>
      <c r="AJ48" s="262"/>
      <c r="AK48" s="262"/>
      <c r="AL48" s="262"/>
      <c r="AM48" s="262"/>
      <c r="AN48" s="262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62"/>
      <c r="BH48" s="262"/>
      <c r="BI48" s="262"/>
      <c r="BJ48" s="262"/>
      <c r="BK48" s="262"/>
      <c r="BL48" s="262"/>
      <c r="BM48" s="262"/>
      <c r="BN48" s="262"/>
      <c r="BO48" s="208"/>
      <c r="BP48" s="208"/>
      <c r="BQ48" s="208"/>
      <c r="BR48" s="208"/>
      <c r="BS48" s="208"/>
      <c r="BT48" s="208"/>
      <c r="BU48" s="208"/>
      <c r="BV48" s="208"/>
      <c r="BW48" s="208"/>
      <c r="BX48" s="208"/>
      <c r="BY48" s="208"/>
      <c r="BZ48" s="208"/>
      <c r="CA48" s="208"/>
      <c r="CB48" s="208"/>
      <c r="CC48" s="208"/>
      <c r="CD48" s="208"/>
      <c r="CE48" s="208"/>
      <c r="CF48" s="208"/>
      <c r="CG48" s="208"/>
      <c r="CH48" s="208"/>
      <c r="CI48" s="208"/>
      <c r="CJ48" s="208"/>
      <c r="CK48" s="208"/>
      <c r="CL48" s="208"/>
      <c r="CM48" s="208"/>
      <c r="CN48" s="208"/>
      <c r="CO48" s="208"/>
      <c r="CP48" s="208"/>
      <c r="CQ48" s="208"/>
      <c r="CR48" s="208"/>
      <c r="CS48" s="208"/>
    </row>
    <row r="49" spans="2:97" x14ac:dyDescent="0.25">
      <c r="D49" s="206"/>
      <c r="E49" s="215"/>
      <c r="AF49" s="207"/>
      <c r="AG49" s="207"/>
      <c r="AH49" s="207"/>
      <c r="AI49" s="207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  <c r="BI49" s="208"/>
      <c r="BJ49" s="208"/>
      <c r="BK49" s="208"/>
      <c r="BL49" s="208"/>
      <c r="BM49" s="208"/>
      <c r="BN49" s="208"/>
      <c r="BO49" s="208"/>
      <c r="BP49" s="208"/>
      <c r="BQ49" s="208"/>
      <c r="BR49" s="208"/>
      <c r="BS49" s="208"/>
      <c r="BT49" s="208"/>
      <c r="BU49" s="208"/>
      <c r="BV49" s="208"/>
      <c r="BW49" s="208"/>
      <c r="BX49" s="208"/>
      <c r="BY49" s="208"/>
      <c r="BZ49" s="208"/>
      <c r="CA49" s="208"/>
      <c r="CB49" s="208"/>
      <c r="CC49" s="208"/>
      <c r="CD49" s="208"/>
      <c r="CE49" s="208"/>
      <c r="CF49" s="208"/>
      <c r="CG49" s="208"/>
      <c r="CH49" s="208"/>
      <c r="CI49" s="208"/>
      <c r="CJ49" s="208"/>
      <c r="CK49" s="208"/>
      <c r="CL49" s="208"/>
      <c r="CM49" s="208"/>
      <c r="CN49" s="208"/>
      <c r="CO49" s="208"/>
      <c r="CP49" s="208"/>
      <c r="CQ49" s="208"/>
      <c r="CR49" s="208"/>
      <c r="CS49" s="208"/>
    </row>
    <row r="50" spans="2:97" ht="13" x14ac:dyDescent="0.3">
      <c r="B50" s="165" t="s">
        <v>14</v>
      </c>
      <c r="C50" s="216" t="s">
        <v>13</v>
      </c>
      <c r="D50" s="216" t="s">
        <v>94</v>
      </c>
      <c r="E50" s="217" t="s">
        <v>7</v>
      </c>
      <c r="F50" s="260" t="str">
        <f>Calculation!G$32</f>
        <v>FY 2019-20</v>
      </c>
      <c r="G50" s="260" t="str">
        <f>Calculation!H$32</f>
        <v>FY 2020-21</v>
      </c>
      <c r="H50" s="260" t="str">
        <f>Calculation!I$32</f>
        <v>FY 2021-22</v>
      </c>
      <c r="I50" s="260" t="str">
        <f>Calculation!J$32</f>
        <v>FY 2022-23</v>
      </c>
      <c r="J50" s="260" t="str">
        <f>Calculation!K$32</f>
        <v>FY 2023-24</v>
      </c>
      <c r="K50" s="260" t="str">
        <f>Calculation!L$32</f>
        <v>FY 2024-25</v>
      </c>
      <c r="L50" s="260" t="str">
        <f>Calculation!M$32</f>
        <v>FY 2025-26</v>
      </c>
      <c r="M50" s="260" t="str">
        <f>Calculation!N$32</f>
        <v>FY 2026-27</v>
      </c>
      <c r="N50" s="260" t="str">
        <f>Calculation!O$32</f>
        <v>FY 2027-28</v>
      </c>
      <c r="O50" s="260" t="str">
        <f>Calculation!P$32</f>
        <v>FY 2028-29</v>
      </c>
      <c r="P50" s="260" t="str">
        <f>Calculation!Q$32</f>
        <v>FY 2029-30</v>
      </c>
      <c r="Q50" s="260" t="str">
        <f>Calculation!R$32</f>
        <v>FY 2030-31</v>
      </c>
      <c r="R50" s="260" t="str">
        <f>Calculation!S$32</f>
        <v>FY 2031-32</v>
      </c>
      <c r="S50" s="260" t="str">
        <f>Calculation!T$32</f>
        <v>FY 2032-33</v>
      </c>
      <c r="T50" s="260" t="str">
        <f>Calculation!U$32</f>
        <v>FY 2033-34</v>
      </c>
      <c r="U50" s="260" t="str">
        <f>Calculation!V$32</f>
        <v>FY 2034-35</v>
      </c>
      <c r="V50" s="260" t="str">
        <f>Calculation!W$32</f>
        <v>FY 2035-36</v>
      </c>
      <c r="W50" s="260" t="str">
        <f>Calculation!X$32</f>
        <v>FY 2036-37</v>
      </c>
      <c r="X50" s="260" t="str">
        <f>Calculation!Y$32</f>
        <v>FY 2037-38</v>
      </c>
      <c r="Y50" s="260" t="str">
        <f>Calculation!Z$32</f>
        <v>FY 2038-39</v>
      </c>
      <c r="Z50" s="260" t="str">
        <f>Calculation!AA$32</f>
        <v>FY 2039-40</v>
      </c>
      <c r="AA50" s="260" t="str">
        <f>Calculation!AB$32</f>
        <v>FY 2040-41</v>
      </c>
      <c r="AB50" s="260" t="str">
        <f>Calculation!AC$32</f>
        <v>FY 2041-42</v>
      </c>
      <c r="AC50" s="260" t="str">
        <f>Calculation!AD$32</f>
        <v>FY 2042-43</v>
      </c>
      <c r="AD50" s="260" t="str">
        <f>Calculation!AE$32</f>
        <v>FY 2043-44</v>
      </c>
      <c r="AE50" s="260" t="str">
        <f>Calculation!AF$32</f>
        <v>FY 2044-45</v>
      </c>
      <c r="AF50" s="260" t="str">
        <f>Calculation!AG$32</f>
        <v>FY 2045-46</v>
      </c>
      <c r="AG50" s="260" t="str">
        <f>Calculation!AH$32</f>
        <v>FY 2046-47</v>
      </c>
      <c r="AH50" s="260" t="str">
        <f>Calculation!AI$32</f>
        <v>FY 2047-48</v>
      </c>
      <c r="AI50" s="260" t="str">
        <f>Calculation!AJ$32</f>
        <v>FY 2048-49</v>
      </c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  <c r="BI50" s="208"/>
      <c r="BJ50" s="208"/>
      <c r="BK50" s="208"/>
      <c r="BL50" s="208"/>
      <c r="BM50" s="208"/>
      <c r="BN50" s="208"/>
      <c r="BO50" s="208"/>
      <c r="BP50" s="208"/>
      <c r="BQ50" s="208"/>
      <c r="BR50" s="208"/>
      <c r="BS50" s="208"/>
      <c r="BT50" s="208"/>
      <c r="BU50" s="208"/>
      <c r="BV50" s="208"/>
      <c r="BW50" s="208"/>
      <c r="BX50" s="208"/>
      <c r="BY50" s="208"/>
      <c r="BZ50" s="208"/>
      <c r="CA50" s="208"/>
      <c r="CB50" s="208"/>
      <c r="CC50" s="208"/>
      <c r="CD50" s="208"/>
      <c r="CE50" s="208"/>
      <c r="CF50" s="208"/>
      <c r="CG50" s="208"/>
      <c r="CH50" s="208"/>
      <c r="CI50" s="208"/>
      <c r="CJ50" s="208"/>
      <c r="CK50" s="208"/>
      <c r="CL50" s="208"/>
      <c r="CM50" s="208"/>
      <c r="CN50" s="208"/>
      <c r="CO50" s="208"/>
      <c r="CP50" s="208"/>
      <c r="CQ50" s="208"/>
      <c r="CR50" s="208"/>
      <c r="CS50" s="208"/>
    </row>
    <row r="51" spans="2:97" x14ac:dyDescent="0.25">
      <c r="B51" s="220">
        <f>+'Option inputs'!$B$14</f>
        <v>0</v>
      </c>
      <c r="C51" s="261" t="str">
        <f>'Option inputs'!$C$14</f>
        <v>Base case</v>
      </c>
      <c r="D51" s="218"/>
      <c r="E51" s="220" t="s">
        <v>35</v>
      </c>
      <c r="F51" s="254">
        <v>0</v>
      </c>
      <c r="G51" s="254">
        <v>1.0429000208749999</v>
      </c>
      <c r="H51" s="254">
        <v>8716257.7694790568</v>
      </c>
      <c r="I51" s="254">
        <v>27899655.284408249</v>
      </c>
      <c r="J51" s="254">
        <v>85394836.815361917</v>
      </c>
      <c r="K51" s="254">
        <v>116002265.07054736</v>
      </c>
      <c r="L51" s="254">
        <v>1.3896816776455625</v>
      </c>
      <c r="M51" s="254">
        <v>1.4712536518392842</v>
      </c>
      <c r="N51" s="254">
        <v>1.5632004571914624</v>
      </c>
      <c r="O51" s="254">
        <v>526811.72563081782</v>
      </c>
      <c r="P51" s="254">
        <v>14618196.835229948</v>
      </c>
      <c r="Q51" s="254">
        <v>18522564.626811743</v>
      </c>
      <c r="R51" s="254">
        <v>1.9646644296269216</v>
      </c>
      <c r="S51" s="254">
        <v>59982592.967684098</v>
      </c>
      <c r="T51" s="254">
        <v>27085435.30976598</v>
      </c>
      <c r="U51" s="254">
        <v>1769419.9618575179</v>
      </c>
      <c r="V51" s="254">
        <v>139939077.73260337</v>
      </c>
      <c r="W51" s="254">
        <v>2.6003011457636576</v>
      </c>
      <c r="X51" s="254">
        <v>2.7508047898452603</v>
      </c>
      <c r="Y51" s="254">
        <v>2.9099560669810782</v>
      </c>
      <c r="Z51" s="254">
        <v>54805529.95656196</v>
      </c>
      <c r="AA51" s="254">
        <v>3.2663976689302521</v>
      </c>
      <c r="AB51" s="254">
        <v>68200316.619872272</v>
      </c>
      <c r="AC51" s="254">
        <v>11570406.158449866</v>
      </c>
      <c r="AD51" s="254">
        <v>6913407.6622870909</v>
      </c>
      <c r="AE51" s="254">
        <v>4.0990243302070022</v>
      </c>
      <c r="AF51" s="254"/>
      <c r="AG51" s="254"/>
      <c r="AH51" s="254"/>
      <c r="AI51" s="254"/>
      <c r="AJ51" s="262"/>
      <c r="AK51" s="262"/>
      <c r="AL51" s="262"/>
      <c r="AM51" s="262"/>
      <c r="AN51" s="262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62"/>
      <c r="BH51" s="262"/>
      <c r="BI51" s="262"/>
      <c r="BJ51" s="262"/>
      <c r="BK51" s="262"/>
      <c r="BL51" s="262"/>
      <c r="BM51" s="262"/>
      <c r="BN51" s="262"/>
      <c r="BO51" s="208"/>
      <c r="BP51" s="273"/>
      <c r="BQ51" s="273"/>
      <c r="BR51" s="273"/>
      <c r="BS51" s="273"/>
      <c r="BT51" s="273"/>
      <c r="BU51" s="273"/>
      <c r="BV51" s="273"/>
      <c r="BW51" s="273"/>
      <c r="BX51" s="273"/>
      <c r="BY51" s="273"/>
      <c r="BZ51" s="273"/>
      <c r="CA51" s="273"/>
      <c r="CB51" s="273"/>
      <c r="CC51" s="273"/>
      <c r="CD51" s="273"/>
      <c r="CE51" s="273"/>
      <c r="CF51" s="273"/>
      <c r="CG51" s="273"/>
      <c r="CH51" s="273"/>
      <c r="CI51" s="273"/>
      <c r="CJ51" s="273"/>
      <c r="CK51" s="273"/>
      <c r="CL51" s="273"/>
      <c r="CM51" s="273"/>
      <c r="CN51" s="273"/>
      <c r="CO51" s="208"/>
      <c r="CP51" s="208"/>
      <c r="CQ51" s="208"/>
      <c r="CR51" s="208"/>
      <c r="CS51" s="208"/>
    </row>
    <row r="52" spans="2:97" x14ac:dyDescent="0.25">
      <c r="B52" s="220">
        <f>+'Option inputs'!$B$15</f>
        <v>1</v>
      </c>
      <c r="C52" s="263" t="str">
        <f>'Option inputs'!$C$15</f>
        <v>Option 1A</v>
      </c>
      <c r="D52" s="218"/>
      <c r="E52" s="220" t="s">
        <v>35</v>
      </c>
      <c r="F52" s="254">
        <v>0</v>
      </c>
      <c r="G52" s="254">
        <v>1.0045986910999998</v>
      </c>
      <c r="H52" s="254">
        <v>8716257.7334361337</v>
      </c>
      <c r="I52" s="254">
        <v>31309160.198567156</v>
      </c>
      <c r="J52" s="254">
        <v>84682805.115806118</v>
      </c>
      <c r="K52" s="254">
        <v>109247877.94642481</v>
      </c>
      <c r="L52" s="254">
        <v>1.3386455448749592</v>
      </c>
      <c r="M52" s="254">
        <v>1.4172120055028317</v>
      </c>
      <c r="N52" s="254">
        <v>1.5057867904488187</v>
      </c>
      <c r="O52" s="254">
        <v>1.5913565495160933</v>
      </c>
      <c r="P52" s="254">
        <v>16951925.774650432</v>
      </c>
      <c r="Q52" s="254">
        <v>18580556.183912627</v>
      </c>
      <c r="R52" s="254">
        <v>1.8925313026078268</v>
      </c>
      <c r="S52" s="254">
        <v>62137027.811616309</v>
      </c>
      <c r="T52" s="254">
        <v>29311752.449729424</v>
      </c>
      <c r="U52" s="254">
        <v>2191539.3560391134</v>
      </c>
      <c r="V52" s="254">
        <v>140581676.29365069</v>
      </c>
      <c r="W52" s="254">
        <v>2.5049118735506104</v>
      </c>
      <c r="X52" s="254">
        <v>2.6498833087567157</v>
      </c>
      <c r="Y52" s="254">
        <v>44025.551609363116</v>
      </c>
      <c r="Z52" s="254">
        <v>31256458.673184879</v>
      </c>
      <c r="AA52" s="254">
        <v>3.1466944049610599</v>
      </c>
      <c r="AB52" s="254">
        <v>66623885.488318242</v>
      </c>
      <c r="AC52" s="254">
        <v>11626499.516201699</v>
      </c>
      <c r="AD52" s="254">
        <v>5710997.6800738946</v>
      </c>
      <c r="AE52" s="254">
        <v>3.9486593905420109</v>
      </c>
      <c r="AF52" s="254"/>
      <c r="AG52" s="254"/>
      <c r="AH52" s="254"/>
      <c r="AI52" s="254"/>
      <c r="AJ52" s="262"/>
      <c r="AK52" s="262"/>
      <c r="AL52" s="262"/>
      <c r="AM52" s="262"/>
      <c r="AN52" s="262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62"/>
      <c r="BH52" s="262"/>
      <c r="BI52" s="262"/>
      <c r="BJ52" s="262"/>
      <c r="BK52" s="262"/>
      <c r="BL52" s="262"/>
      <c r="BM52" s="262"/>
      <c r="BN52" s="262"/>
      <c r="BO52" s="208"/>
      <c r="BP52" s="273"/>
      <c r="BQ52" s="273"/>
      <c r="BR52" s="273"/>
      <c r="BS52" s="273"/>
      <c r="BT52" s="273"/>
      <c r="BU52" s="273"/>
      <c r="BV52" s="273"/>
      <c r="BW52" s="273"/>
      <c r="BX52" s="273"/>
      <c r="BY52" s="273"/>
      <c r="BZ52" s="273"/>
      <c r="CA52" s="273"/>
      <c r="CB52" s="273"/>
      <c r="CC52" s="273"/>
      <c r="CD52" s="273"/>
      <c r="CE52" s="273"/>
      <c r="CF52" s="273"/>
      <c r="CG52" s="273"/>
      <c r="CH52" s="273"/>
      <c r="CI52" s="273"/>
      <c r="CJ52" s="273"/>
      <c r="CK52" s="273"/>
      <c r="CL52" s="273"/>
      <c r="CM52" s="273"/>
      <c r="CN52" s="273"/>
      <c r="CO52" s="208"/>
      <c r="CP52" s="208"/>
      <c r="CQ52" s="208"/>
      <c r="CR52" s="208"/>
      <c r="CS52" s="208"/>
    </row>
    <row r="53" spans="2:97" x14ac:dyDescent="0.25">
      <c r="B53" s="220">
        <f>+'Option inputs'!$B$16</f>
        <v>2</v>
      </c>
      <c r="C53" s="263" t="str">
        <f>'Option inputs'!$C$16</f>
        <v>Option 1B</v>
      </c>
      <c r="D53" s="218"/>
      <c r="E53" s="220" t="s">
        <v>35</v>
      </c>
      <c r="F53" s="254">
        <v>0</v>
      </c>
      <c r="G53" s="254">
        <v>2.18488777575</v>
      </c>
      <c r="H53" s="254">
        <v>8716256.6733219195</v>
      </c>
      <c r="I53" s="254">
        <v>34056318.488126427</v>
      </c>
      <c r="J53" s="254">
        <v>84243223.667277902</v>
      </c>
      <c r="K53" s="254">
        <v>115348802.54667091</v>
      </c>
      <c r="L53" s="254">
        <v>2.911643560041604</v>
      </c>
      <c r="M53" s="254">
        <v>3.082620233051411</v>
      </c>
      <c r="N53" s="254">
        <v>3.2752329995783569</v>
      </c>
      <c r="O53" s="254">
        <v>958902.17309677484</v>
      </c>
      <c r="P53" s="254">
        <v>16797685.02745324</v>
      </c>
      <c r="Q53" s="254">
        <v>19332177.922307473</v>
      </c>
      <c r="R53" s="254">
        <v>4.1163781074262857</v>
      </c>
      <c r="S53" s="254">
        <v>66244745.824790224</v>
      </c>
      <c r="T53" s="254">
        <v>33792416.243046902</v>
      </c>
      <c r="U53" s="254">
        <v>3054484.0355857466</v>
      </c>
      <c r="V53" s="254">
        <v>139523988.78304067</v>
      </c>
      <c r="W53" s="254">
        <v>5.447660886411005</v>
      </c>
      <c r="X53" s="254">
        <v>5.7628923675810206</v>
      </c>
      <c r="Y53" s="254">
        <v>33676.929584752615</v>
      </c>
      <c r="Z53" s="254">
        <v>54630273.043751821</v>
      </c>
      <c r="AA53" s="254">
        <v>6.8422547563982814</v>
      </c>
      <c r="AB53" s="254">
        <v>66173118.966695234</v>
      </c>
      <c r="AC53" s="254">
        <v>11573499.966005446</v>
      </c>
      <c r="AD53" s="254">
        <v>8371453.916424565</v>
      </c>
      <c r="AE53" s="254">
        <v>8.5799426497599356</v>
      </c>
      <c r="AF53" s="254"/>
      <c r="AG53" s="254"/>
      <c r="AH53" s="254"/>
      <c r="AI53" s="254"/>
      <c r="AJ53" s="262"/>
      <c r="AK53" s="262"/>
      <c r="AL53" s="262"/>
      <c r="AM53" s="262"/>
      <c r="AN53" s="262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62"/>
      <c r="BH53" s="262"/>
      <c r="BI53" s="262"/>
      <c r="BJ53" s="262"/>
      <c r="BK53" s="262"/>
      <c r="BL53" s="262"/>
      <c r="BM53" s="262"/>
      <c r="BN53" s="262"/>
      <c r="BO53" s="208"/>
      <c r="BP53" s="273"/>
      <c r="BQ53" s="273"/>
      <c r="BR53" s="273"/>
      <c r="BS53" s="273"/>
      <c r="BT53" s="273"/>
      <c r="BU53" s="273"/>
      <c r="BV53" s="273"/>
      <c r="BW53" s="273"/>
      <c r="BX53" s="273"/>
      <c r="BY53" s="273"/>
      <c r="BZ53" s="273"/>
      <c r="CA53" s="273"/>
      <c r="CB53" s="273"/>
      <c r="CC53" s="273"/>
      <c r="CD53" s="273"/>
      <c r="CE53" s="273"/>
      <c r="CF53" s="273"/>
      <c r="CG53" s="273"/>
      <c r="CH53" s="273"/>
      <c r="CI53" s="273"/>
      <c r="CJ53" s="273"/>
      <c r="CK53" s="273"/>
      <c r="CL53" s="273"/>
      <c r="CM53" s="273"/>
      <c r="CN53" s="273"/>
      <c r="CO53" s="208"/>
      <c r="CP53" s="208"/>
      <c r="CQ53" s="208"/>
      <c r="CR53" s="208"/>
      <c r="CS53" s="208"/>
    </row>
    <row r="54" spans="2:97" x14ac:dyDescent="0.25">
      <c r="B54" s="220">
        <f>+'Option inputs'!$B$17</f>
        <v>3</v>
      </c>
      <c r="C54" s="263" t="str">
        <f>'Option inputs'!$C$17</f>
        <v>Option 1C</v>
      </c>
      <c r="D54" s="218"/>
      <c r="E54" s="220" t="s">
        <v>35</v>
      </c>
      <c r="F54" s="254">
        <v>0</v>
      </c>
      <c r="G54" s="254">
        <v>0.80354399912499985</v>
      </c>
      <c r="H54" s="254">
        <v>8716257.5442244746</v>
      </c>
      <c r="I54" s="254">
        <v>23170237.206665326</v>
      </c>
      <c r="J54" s="254">
        <v>85256892.540802866</v>
      </c>
      <c r="K54" s="254">
        <v>105682541.23440669</v>
      </c>
      <c r="L54" s="254">
        <v>1.0708136919309503</v>
      </c>
      <c r="M54" s="254">
        <v>1.1336964515506829</v>
      </c>
      <c r="N54" s="254">
        <v>1.2045307804970504</v>
      </c>
      <c r="O54" s="254">
        <v>3218308.417792507</v>
      </c>
      <c r="P54" s="254">
        <v>15163224.784249842</v>
      </c>
      <c r="Q54" s="254">
        <v>19921307.442800853</v>
      </c>
      <c r="R54" s="254">
        <v>1.5138673417674366</v>
      </c>
      <c r="S54" s="254">
        <v>58361166.517291836</v>
      </c>
      <c r="T54" s="254">
        <v>25811287.445945557</v>
      </c>
      <c r="U54" s="254">
        <v>1527611.5994299431</v>
      </c>
      <c r="V54" s="254">
        <v>142104019.77079779</v>
      </c>
      <c r="W54" s="254">
        <v>2.0034642477367939</v>
      </c>
      <c r="X54" s="254">
        <v>2.1193962970287004</v>
      </c>
      <c r="Y54" s="254">
        <v>2.2419782653418929</v>
      </c>
      <c r="Z54" s="254">
        <v>35628068.87689127</v>
      </c>
      <c r="AA54" s="254">
        <v>2.516380955864904</v>
      </c>
      <c r="AB54" s="254">
        <v>68678579.222638756</v>
      </c>
      <c r="AC54" s="254">
        <v>11597212.721790668</v>
      </c>
      <c r="AD54" s="254">
        <v>7055868.0020822175</v>
      </c>
      <c r="AE54" s="254">
        <v>3.1556905439709753</v>
      </c>
      <c r="AF54" s="254"/>
      <c r="AG54" s="254"/>
      <c r="AH54" s="254"/>
      <c r="AI54" s="254"/>
      <c r="AJ54" s="262"/>
      <c r="AK54" s="262"/>
      <c r="AL54" s="262"/>
      <c r="AM54" s="262"/>
      <c r="AN54" s="262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62"/>
      <c r="BH54" s="262"/>
      <c r="BI54" s="262"/>
      <c r="BJ54" s="262"/>
      <c r="BK54" s="262"/>
      <c r="BL54" s="262"/>
      <c r="BM54" s="262"/>
      <c r="BN54" s="262"/>
      <c r="BO54" s="208"/>
      <c r="BP54" s="273"/>
      <c r="BQ54" s="273"/>
      <c r="BR54" s="273"/>
      <c r="BS54" s="273"/>
      <c r="BT54" s="273"/>
      <c r="BU54" s="273"/>
      <c r="BV54" s="273"/>
      <c r="BW54" s="273"/>
      <c r="BX54" s="273"/>
      <c r="BY54" s="273"/>
      <c r="BZ54" s="273"/>
      <c r="CA54" s="273"/>
      <c r="CB54" s="273"/>
      <c r="CC54" s="273"/>
      <c r="CD54" s="273"/>
      <c r="CE54" s="273"/>
      <c r="CF54" s="273"/>
      <c r="CG54" s="273"/>
      <c r="CH54" s="273"/>
      <c r="CI54" s="273"/>
      <c r="CJ54" s="273"/>
      <c r="CK54" s="273"/>
      <c r="CL54" s="273"/>
      <c r="CM54" s="273"/>
      <c r="CN54" s="273"/>
      <c r="CO54" s="208"/>
      <c r="CP54" s="208"/>
      <c r="CQ54" s="208"/>
      <c r="CR54" s="208"/>
      <c r="CS54" s="208"/>
    </row>
    <row r="55" spans="2:97" x14ac:dyDescent="0.25">
      <c r="B55" s="220">
        <f>+'Option inputs'!$B$18</f>
        <v>4</v>
      </c>
      <c r="C55" s="263" t="str">
        <f>'Option inputs'!$C$18</f>
        <v>Option 1D</v>
      </c>
      <c r="D55" s="218"/>
      <c r="E55" s="220" t="s">
        <v>35</v>
      </c>
      <c r="F55" s="254">
        <v>0</v>
      </c>
      <c r="G55" s="254">
        <v>2.2681842572499997</v>
      </c>
      <c r="H55" s="254">
        <v>8716256.7514309082</v>
      </c>
      <c r="I55" s="254">
        <v>24664765.491345696</v>
      </c>
      <c r="J55" s="254">
        <v>86169541.907870516</v>
      </c>
      <c r="K55" s="254">
        <v>108815019.6261401</v>
      </c>
      <c r="L55" s="254">
        <v>3.0215280697134901</v>
      </c>
      <c r="M55" s="254">
        <v>3.1986686157249746</v>
      </c>
      <c r="N55" s="254">
        <v>3.3987693272560007</v>
      </c>
      <c r="O55" s="254">
        <v>2838752.1791766696</v>
      </c>
      <c r="P55" s="254">
        <v>14618198.657940032</v>
      </c>
      <c r="Q55" s="254">
        <v>19764885.853710517</v>
      </c>
      <c r="R55" s="254">
        <v>4.271644142699226</v>
      </c>
      <c r="S55" s="254">
        <v>59087937.479626901</v>
      </c>
      <c r="T55" s="254">
        <v>27729885.227280036</v>
      </c>
      <c r="U55" s="254">
        <v>2064049.8147850425</v>
      </c>
      <c r="V55" s="254">
        <v>141225120.41619211</v>
      </c>
      <c r="W55" s="254">
        <v>5.6551294968337205</v>
      </c>
      <c r="X55" s="254">
        <v>5.9828327711484501</v>
      </c>
      <c r="Y55" s="254">
        <v>6.3290317152805136</v>
      </c>
      <c r="Z55" s="254">
        <v>54926532.324349932</v>
      </c>
      <c r="AA55" s="254">
        <v>7.1070061105895483</v>
      </c>
      <c r="AB55" s="254">
        <v>68439752.50530073</v>
      </c>
      <c r="AC55" s="254">
        <v>11590634.83183923</v>
      </c>
      <c r="AD55" s="254">
        <v>7002712.3762130635</v>
      </c>
      <c r="AE55" s="254">
        <v>8.9335113545302711</v>
      </c>
      <c r="AF55" s="254"/>
      <c r="AG55" s="254"/>
      <c r="AH55" s="254"/>
      <c r="AI55" s="254"/>
      <c r="AJ55" s="262"/>
      <c r="AK55" s="262"/>
      <c r="AL55" s="262"/>
      <c r="AM55" s="262"/>
      <c r="AN55" s="262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62"/>
      <c r="BH55" s="262"/>
      <c r="BI55" s="262"/>
      <c r="BJ55" s="262"/>
      <c r="BK55" s="262"/>
      <c r="BL55" s="262"/>
      <c r="BM55" s="262"/>
      <c r="BN55" s="262"/>
      <c r="BO55" s="208"/>
      <c r="BP55" s="273"/>
      <c r="BQ55" s="273"/>
      <c r="BR55" s="273"/>
      <c r="BS55" s="273"/>
      <c r="BT55" s="273"/>
      <c r="BU55" s="273"/>
      <c r="BV55" s="273"/>
      <c r="BW55" s="273"/>
      <c r="BX55" s="273"/>
      <c r="BY55" s="273"/>
      <c r="BZ55" s="273"/>
      <c r="CA55" s="273"/>
      <c r="CB55" s="273"/>
      <c r="CC55" s="273"/>
      <c r="CD55" s="273"/>
      <c r="CE55" s="273"/>
      <c r="CF55" s="273"/>
      <c r="CG55" s="273"/>
      <c r="CH55" s="273"/>
      <c r="CI55" s="273"/>
      <c r="CJ55" s="273"/>
      <c r="CK55" s="273"/>
      <c r="CL55" s="273"/>
      <c r="CM55" s="273"/>
      <c r="CN55" s="273"/>
      <c r="CO55" s="208"/>
      <c r="CP55" s="208"/>
      <c r="CQ55" s="208"/>
      <c r="CR55" s="208"/>
      <c r="CS55" s="208"/>
    </row>
    <row r="56" spans="2:97" x14ac:dyDescent="0.25">
      <c r="E56" s="215"/>
      <c r="AF56" s="207"/>
      <c r="AG56" s="207"/>
      <c r="AH56" s="207"/>
      <c r="AI56" s="207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8"/>
      <c r="BE56" s="208"/>
      <c r="BF56" s="208"/>
      <c r="BG56" s="208"/>
      <c r="BH56" s="208"/>
      <c r="BI56" s="208"/>
      <c r="BJ56" s="208"/>
      <c r="BK56" s="208"/>
      <c r="BL56" s="208"/>
      <c r="BM56" s="208"/>
      <c r="BN56" s="208"/>
      <c r="BO56" s="208"/>
      <c r="BP56" s="208"/>
      <c r="BQ56" s="208"/>
      <c r="BR56" s="208"/>
      <c r="BS56" s="208"/>
      <c r="BT56" s="208"/>
      <c r="BU56" s="208"/>
      <c r="BV56" s="208"/>
      <c r="BW56" s="208"/>
      <c r="BX56" s="208"/>
      <c r="BY56" s="208"/>
      <c r="BZ56" s="208"/>
      <c r="CA56" s="208"/>
      <c r="CB56" s="208"/>
      <c r="CC56" s="208"/>
      <c r="CD56" s="208"/>
      <c r="CE56" s="208"/>
      <c r="CF56" s="208"/>
      <c r="CG56" s="208"/>
      <c r="CH56" s="208"/>
      <c r="CI56" s="208"/>
      <c r="CJ56" s="208"/>
      <c r="CK56" s="208"/>
      <c r="CL56" s="208"/>
      <c r="CM56" s="208"/>
      <c r="CN56" s="208"/>
      <c r="CO56" s="208"/>
      <c r="CP56" s="208"/>
      <c r="CQ56" s="208"/>
      <c r="CR56" s="208"/>
      <c r="CS56" s="208"/>
    </row>
    <row r="57" spans="2:97" ht="13" x14ac:dyDescent="0.3">
      <c r="B57" s="165" t="s">
        <v>14</v>
      </c>
      <c r="C57" s="216" t="s">
        <v>13</v>
      </c>
      <c r="D57" s="165" t="s">
        <v>86</v>
      </c>
      <c r="E57" s="217" t="s">
        <v>7</v>
      </c>
      <c r="F57" s="260" t="str">
        <f>Calculation!G$32</f>
        <v>FY 2019-20</v>
      </c>
      <c r="G57" s="260" t="str">
        <f>Calculation!H$32</f>
        <v>FY 2020-21</v>
      </c>
      <c r="H57" s="260" t="str">
        <f>Calculation!I$32</f>
        <v>FY 2021-22</v>
      </c>
      <c r="I57" s="260" t="str">
        <f>Calculation!J$32</f>
        <v>FY 2022-23</v>
      </c>
      <c r="J57" s="260" t="str">
        <f>Calculation!K$32</f>
        <v>FY 2023-24</v>
      </c>
      <c r="K57" s="260" t="str">
        <f>Calculation!L$32</f>
        <v>FY 2024-25</v>
      </c>
      <c r="L57" s="260" t="str">
        <f>Calculation!M$32</f>
        <v>FY 2025-26</v>
      </c>
      <c r="M57" s="260" t="str">
        <f>Calculation!N$32</f>
        <v>FY 2026-27</v>
      </c>
      <c r="N57" s="260" t="str">
        <f>Calculation!O$32</f>
        <v>FY 2027-28</v>
      </c>
      <c r="O57" s="260" t="str">
        <f>Calculation!P$32</f>
        <v>FY 2028-29</v>
      </c>
      <c r="P57" s="260" t="str">
        <f>Calculation!Q$32</f>
        <v>FY 2029-30</v>
      </c>
      <c r="Q57" s="260" t="str">
        <f>Calculation!R$32</f>
        <v>FY 2030-31</v>
      </c>
      <c r="R57" s="260" t="str">
        <f>Calculation!S$32</f>
        <v>FY 2031-32</v>
      </c>
      <c r="S57" s="260" t="str">
        <f>Calculation!T$32</f>
        <v>FY 2032-33</v>
      </c>
      <c r="T57" s="260" t="str">
        <f>Calculation!U$32</f>
        <v>FY 2033-34</v>
      </c>
      <c r="U57" s="260" t="str">
        <f>Calculation!V$32</f>
        <v>FY 2034-35</v>
      </c>
      <c r="V57" s="260" t="str">
        <f>Calculation!W$32</f>
        <v>FY 2035-36</v>
      </c>
      <c r="W57" s="260" t="str">
        <f>Calculation!X$32</f>
        <v>FY 2036-37</v>
      </c>
      <c r="X57" s="260" t="str">
        <f>Calculation!Y$32</f>
        <v>FY 2037-38</v>
      </c>
      <c r="Y57" s="260" t="str">
        <f>Calculation!Z$32</f>
        <v>FY 2038-39</v>
      </c>
      <c r="Z57" s="260" t="str">
        <f>Calculation!AA$32</f>
        <v>FY 2039-40</v>
      </c>
      <c r="AA57" s="260" t="str">
        <f>Calculation!AB$32</f>
        <v>FY 2040-41</v>
      </c>
      <c r="AB57" s="260" t="str">
        <f>Calculation!AC$32</f>
        <v>FY 2041-42</v>
      </c>
      <c r="AC57" s="260" t="str">
        <f>Calculation!AD$32</f>
        <v>FY 2042-43</v>
      </c>
      <c r="AD57" s="260" t="str">
        <f>Calculation!AE$32</f>
        <v>FY 2043-44</v>
      </c>
      <c r="AE57" s="260" t="str">
        <f>Calculation!AF$32</f>
        <v>FY 2044-45</v>
      </c>
      <c r="AF57" s="260" t="str">
        <f>Calculation!AG$32</f>
        <v>FY 2045-46</v>
      </c>
      <c r="AG57" s="260" t="str">
        <f>Calculation!AH$32</f>
        <v>FY 2046-47</v>
      </c>
      <c r="AH57" s="260" t="str">
        <f>Calculation!AI$32</f>
        <v>FY 2047-48</v>
      </c>
      <c r="AI57" s="260" t="str">
        <f>Calculation!AJ$32</f>
        <v>FY 2048-49</v>
      </c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  <c r="BG57" s="208"/>
      <c r="BH57" s="208"/>
      <c r="BI57" s="208"/>
      <c r="BJ57" s="208"/>
      <c r="BK57" s="208"/>
      <c r="BL57" s="208"/>
      <c r="BM57" s="208"/>
      <c r="BN57" s="208"/>
      <c r="BO57" s="208"/>
      <c r="BP57" s="208"/>
      <c r="BQ57" s="208"/>
      <c r="BR57" s="208"/>
      <c r="BS57" s="208"/>
      <c r="BT57" s="208"/>
      <c r="BU57" s="208"/>
      <c r="BV57" s="208"/>
      <c r="BW57" s="208"/>
      <c r="BX57" s="208"/>
      <c r="BY57" s="208"/>
      <c r="BZ57" s="208"/>
      <c r="CA57" s="208"/>
      <c r="CB57" s="208"/>
      <c r="CC57" s="208"/>
      <c r="CD57" s="208"/>
      <c r="CE57" s="208"/>
      <c r="CF57" s="208"/>
      <c r="CG57" s="208"/>
      <c r="CH57" s="208"/>
      <c r="CI57" s="208"/>
      <c r="CJ57" s="208"/>
      <c r="CK57" s="208"/>
      <c r="CL57" s="208"/>
      <c r="CM57" s="208"/>
      <c r="CN57" s="208"/>
      <c r="CO57" s="208"/>
      <c r="CP57" s="208"/>
      <c r="CQ57" s="208"/>
      <c r="CR57" s="208"/>
      <c r="CS57" s="208"/>
    </row>
    <row r="58" spans="2:97" x14ac:dyDescent="0.25">
      <c r="B58" s="220">
        <f>+'Option inputs'!$B$14</f>
        <v>0</v>
      </c>
      <c r="C58" s="261" t="str">
        <f>'Option inputs'!$C$14</f>
        <v>Base case</v>
      </c>
      <c r="D58" s="218"/>
      <c r="E58" s="220" t="s">
        <v>35</v>
      </c>
      <c r="F58" s="254">
        <v>0</v>
      </c>
      <c r="G58" s="254">
        <v>5841242.7391844383</v>
      </c>
      <c r="H58" s="254">
        <v>12354802.532793514</v>
      </c>
      <c r="I58" s="254">
        <v>56584265.859280594</v>
      </c>
      <c r="J58" s="254">
        <v>16616760.754921416</v>
      </c>
      <c r="K58" s="254">
        <v>19356400.244462587</v>
      </c>
      <c r="L58" s="254">
        <v>24162951.831821185</v>
      </c>
      <c r="M58" s="254">
        <v>7303799.8088778574</v>
      </c>
      <c r="N58" s="254">
        <v>10307036.574647414</v>
      </c>
      <c r="O58" s="254">
        <v>90373775.93524529</v>
      </c>
      <c r="P58" s="254">
        <v>8127298.4107355522</v>
      </c>
      <c r="Q58" s="254">
        <v>7.9589171039730271</v>
      </c>
      <c r="R58" s="254">
        <v>46785337.905133307</v>
      </c>
      <c r="S58" s="254">
        <v>23568234.796688635</v>
      </c>
      <c r="T58" s="254">
        <v>35652175.375808753</v>
      </c>
      <c r="U58" s="254">
        <v>3277431.1583938291</v>
      </c>
      <c r="V58" s="254">
        <v>42026309.038476408</v>
      </c>
      <c r="W58" s="254">
        <v>84698.020726847346</v>
      </c>
      <c r="X58" s="254">
        <v>32403177.978289597</v>
      </c>
      <c r="Y58" s="254">
        <v>9588042.5555069074</v>
      </c>
      <c r="Z58" s="254">
        <v>2946946.3012058698</v>
      </c>
      <c r="AA58" s="254">
        <v>36803167.340276361</v>
      </c>
      <c r="AB58" s="254">
        <v>11259114.260838248</v>
      </c>
      <c r="AC58" s="254">
        <v>83558378.402475566</v>
      </c>
      <c r="AD58" s="254">
        <v>49268638.256727919</v>
      </c>
      <c r="AE58" s="254">
        <v>17.181767873039583</v>
      </c>
      <c r="AF58" s="254"/>
      <c r="AG58" s="254"/>
      <c r="AH58" s="254"/>
      <c r="AI58" s="254"/>
      <c r="AJ58" s="262"/>
      <c r="AK58" s="262"/>
      <c r="AL58" s="262"/>
      <c r="AM58" s="262"/>
      <c r="AN58" s="262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62"/>
      <c r="BH58" s="262"/>
      <c r="BI58" s="262"/>
      <c r="BJ58" s="262"/>
      <c r="BK58" s="262"/>
      <c r="BL58" s="262"/>
      <c r="BM58" s="262"/>
      <c r="BN58" s="262"/>
      <c r="BO58" s="262"/>
      <c r="BP58" s="262"/>
      <c r="BQ58" s="262"/>
      <c r="BR58" s="262"/>
      <c r="BS58" s="262"/>
      <c r="BT58" s="262"/>
      <c r="BU58" s="208"/>
      <c r="BV58" s="208"/>
      <c r="BW58" s="208"/>
      <c r="BX58" s="208"/>
      <c r="BY58" s="208"/>
      <c r="BZ58" s="208"/>
      <c r="CA58" s="208"/>
      <c r="CB58" s="208"/>
      <c r="CC58" s="208"/>
      <c r="CD58" s="208"/>
      <c r="CE58" s="208"/>
      <c r="CF58" s="208"/>
      <c r="CG58" s="208"/>
      <c r="CH58" s="208"/>
      <c r="CI58" s="208"/>
      <c r="CJ58" s="208"/>
      <c r="CK58" s="208"/>
      <c r="CL58" s="208"/>
      <c r="CM58" s="208"/>
      <c r="CN58" s="208"/>
      <c r="CO58" s="208"/>
      <c r="CP58" s="208"/>
      <c r="CQ58" s="208"/>
      <c r="CR58" s="208"/>
      <c r="CS58" s="208"/>
    </row>
    <row r="59" spans="2:97" x14ac:dyDescent="0.25">
      <c r="B59" s="220">
        <f>+'Option inputs'!$B$15</f>
        <v>1</v>
      </c>
      <c r="C59" s="263" t="str">
        <f>'Option inputs'!$C$15</f>
        <v>Option 1A</v>
      </c>
      <c r="D59" s="218"/>
      <c r="E59" s="220" t="s">
        <v>35</v>
      </c>
      <c r="F59" s="254">
        <v>0</v>
      </c>
      <c r="G59" s="254">
        <v>5841264.5744882403</v>
      </c>
      <c r="H59" s="254">
        <v>12354815.887853652</v>
      </c>
      <c r="I59" s="254">
        <v>53380843.551213861</v>
      </c>
      <c r="J59" s="254">
        <v>17646959.083781056</v>
      </c>
      <c r="K59" s="254">
        <v>17908766.404552907</v>
      </c>
      <c r="L59" s="254">
        <v>21761657.028414752</v>
      </c>
      <c r="M59" s="254">
        <v>6137475.5061510066</v>
      </c>
      <c r="N59" s="254">
        <v>8872225.9126840886</v>
      </c>
      <c r="O59" s="254">
        <v>101326640.56568967</v>
      </c>
      <c r="P59" s="254">
        <v>8442206.652720198</v>
      </c>
      <c r="Q59" s="254">
        <v>0.42161290944374602</v>
      </c>
      <c r="R59" s="254">
        <v>46024341.106001034</v>
      </c>
      <c r="S59" s="254">
        <v>25021905.900583725</v>
      </c>
      <c r="T59" s="254">
        <v>35150723.564952932</v>
      </c>
      <c r="U59" s="254">
        <v>3544248.930987732</v>
      </c>
      <c r="V59" s="254">
        <v>35073213.216251612</v>
      </c>
      <c r="W59" s="254">
        <v>0.58654476632488639</v>
      </c>
      <c r="X59" s="254">
        <v>25896650.990292661</v>
      </c>
      <c r="Y59" s="254">
        <v>7396024.7775880722</v>
      </c>
      <c r="Z59" s="254">
        <v>2972599.9571718993</v>
      </c>
      <c r="AA59" s="254">
        <v>36914082.772053048</v>
      </c>
      <c r="AB59" s="254">
        <v>11440241.779269041</v>
      </c>
      <c r="AC59" s="254">
        <v>79885738.932217047</v>
      </c>
      <c r="AD59" s="254">
        <v>48483653.070750058</v>
      </c>
      <c r="AE59" s="254">
        <v>0.9102249073341242</v>
      </c>
      <c r="AF59" s="254"/>
      <c r="AG59" s="254"/>
      <c r="AH59" s="254"/>
      <c r="AI59" s="254"/>
      <c r="AJ59" s="262"/>
      <c r="AK59" s="262"/>
      <c r="AL59" s="262"/>
      <c r="AM59" s="262"/>
      <c r="AN59" s="262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62"/>
      <c r="BH59" s="262"/>
      <c r="BI59" s="262"/>
      <c r="BJ59" s="262"/>
      <c r="BK59" s="262"/>
      <c r="BL59" s="262"/>
      <c r="BM59" s="262"/>
      <c r="BN59" s="262"/>
      <c r="BO59" s="262"/>
      <c r="BP59" s="262"/>
      <c r="BQ59" s="262"/>
      <c r="BR59" s="262"/>
      <c r="BS59" s="262"/>
      <c r="BT59" s="262"/>
      <c r="BU59" s="208"/>
      <c r="BV59" s="208"/>
      <c r="BW59" s="208"/>
      <c r="BX59" s="208"/>
      <c r="BY59" s="208"/>
      <c r="BZ59" s="208"/>
      <c r="CA59" s="208"/>
      <c r="CB59" s="208"/>
      <c r="CC59" s="208"/>
      <c r="CD59" s="208"/>
      <c r="CE59" s="208"/>
      <c r="CF59" s="208"/>
      <c r="CG59" s="208"/>
      <c r="CH59" s="208"/>
      <c r="CI59" s="208"/>
      <c r="CJ59" s="208"/>
      <c r="CK59" s="208"/>
      <c r="CL59" s="208"/>
      <c r="CM59" s="208"/>
      <c r="CN59" s="208"/>
      <c r="CO59" s="208"/>
      <c r="CP59" s="208"/>
      <c r="CQ59" s="208"/>
      <c r="CR59" s="208"/>
      <c r="CS59" s="208"/>
    </row>
    <row r="60" spans="2:97" x14ac:dyDescent="0.25">
      <c r="B60" s="220">
        <f>+'Option inputs'!$B$16</f>
        <v>2</v>
      </c>
      <c r="C60" s="263" t="str">
        <f>'Option inputs'!$C$16</f>
        <v>Option 1B</v>
      </c>
      <c r="D60" s="218"/>
      <c r="E60" s="220" t="s">
        <v>35</v>
      </c>
      <c r="F60" s="254">
        <v>0</v>
      </c>
      <c r="G60" s="254">
        <v>5841264.5802437775</v>
      </c>
      <c r="H60" s="254">
        <v>12354815.893947659</v>
      </c>
      <c r="I60" s="254">
        <v>56584359.687452376</v>
      </c>
      <c r="J60" s="254">
        <v>16616756.247742284</v>
      </c>
      <c r="K60" s="254">
        <v>19356399.351571746</v>
      </c>
      <c r="L60" s="254">
        <v>24005457.370698817</v>
      </c>
      <c r="M60" s="254">
        <v>7197904.7320318865</v>
      </c>
      <c r="N60" s="254">
        <v>10216303.417729285</v>
      </c>
      <c r="O60" s="254">
        <v>89714662.275590748</v>
      </c>
      <c r="P60" s="254">
        <v>8125154.3402237594</v>
      </c>
      <c r="Q60" s="254">
        <v>0.43306826137671578</v>
      </c>
      <c r="R60" s="254">
        <v>46841121.016106673</v>
      </c>
      <c r="S60" s="254">
        <v>24674114.004207231</v>
      </c>
      <c r="T60" s="254">
        <v>37749235.360651419</v>
      </c>
      <c r="U60" s="254">
        <v>3928338.0499037788</v>
      </c>
      <c r="V60" s="254">
        <v>37065093.668130681</v>
      </c>
      <c r="W60" s="254">
        <v>84690.06544093437</v>
      </c>
      <c r="X60" s="254">
        <v>29814158.961640663</v>
      </c>
      <c r="Y60" s="254">
        <v>9312707.2162327413</v>
      </c>
      <c r="Z60" s="254">
        <v>2861555.5324043822</v>
      </c>
      <c r="AA60" s="254">
        <v>38523287.528798766</v>
      </c>
      <c r="AB60" s="254">
        <v>13255940.092285126</v>
      </c>
      <c r="AC60" s="254">
        <v>82502331.133994758</v>
      </c>
      <c r="AD60" s="254">
        <v>49044922.713391751</v>
      </c>
      <c r="AE60" s="254">
        <v>0.93492758290518174</v>
      </c>
      <c r="AF60" s="254"/>
      <c r="AG60" s="254"/>
      <c r="AH60" s="254"/>
      <c r="AI60" s="254"/>
      <c r="AJ60" s="262"/>
      <c r="AK60" s="262"/>
      <c r="AL60" s="262"/>
      <c r="AM60" s="262"/>
      <c r="AN60" s="262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62"/>
      <c r="BH60" s="262"/>
      <c r="BI60" s="262"/>
      <c r="BJ60" s="262"/>
      <c r="BK60" s="262"/>
      <c r="BL60" s="262"/>
      <c r="BM60" s="262"/>
      <c r="BN60" s="262"/>
      <c r="BO60" s="262"/>
      <c r="BP60" s="262"/>
      <c r="BQ60" s="262"/>
      <c r="BR60" s="262"/>
      <c r="BS60" s="262"/>
      <c r="BT60" s="262"/>
      <c r="BU60" s="208"/>
      <c r="BV60" s="208"/>
      <c r="BW60" s="208"/>
      <c r="BX60" s="208"/>
      <c r="BY60" s="208"/>
      <c r="BZ60" s="208"/>
      <c r="CA60" s="208"/>
      <c r="CB60" s="208"/>
      <c r="CC60" s="208"/>
      <c r="CD60" s="208"/>
      <c r="CE60" s="208"/>
      <c r="CF60" s="208"/>
      <c r="CG60" s="208"/>
      <c r="CH60" s="208"/>
      <c r="CI60" s="208"/>
      <c r="CJ60" s="208"/>
      <c r="CK60" s="208"/>
      <c r="CL60" s="208"/>
      <c r="CM60" s="208"/>
      <c r="CN60" s="208"/>
      <c r="CO60" s="208"/>
      <c r="CP60" s="208"/>
      <c r="CQ60" s="208"/>
      <c r="CR60" s="208"/>
      <c r="CS60" s="208"/>
    </row>
    <row r="61" spans="2:97" x14ac:dyDescent="0.25">
      <c r="B61" s="220">
        <f>+'Option inputs'!$B$17</f>
        <v>3</v>
      </c>
      <c r="C61" s="263" t="str">
        <f>'Option inputs'!$C$17</f>
        <v>Option 1C</v>
      </c>
      <c r="D61" s="218"/>
      <c r="E61" s="220" t="s">
        <v>35</v>
      </c>
      <c r="F61" s="254">
        <v>0</v>
      </c>
      <c r="G61" s="254">
        <v>5841263.6903339634</v>
      </c>
      <c r="H61" s="254">
        <v>12354816.036981476</v>
      </c>
      <c r="I61" s="254">
        <v>53289291.453824855</v>
      </c>
      <c r="J61" s="254">
        <v>17586249.308927029</v>
      </c>
      <c r="K61" s="254">
        <v>17908766.581741754</v>
      </c>
      <c r="L61" s="254">
        <v>21761657.216050815</v>
      </c>
      <c r="M61" s="254">
        <v>6137475.7047103187</v>
      </c>
      <c r="N61" s="254">
        <v>8872226.1234921124</v>
      </c>
      <c r="O61" s="254">
        <v>103002401.91741812</v>
      </c>
      <c r="P61" s="254">
        <v>8482205.1296140645</v>
      </c>
      <c r="Q61" s="254">
        <v>0.70174471971797503</v>
      </c>
      <c r="R61" s="254">
        <v>46100324.030087315</v>
      </c>
      <c r="S61" s="254">
        <v>24084274.666843757</v>
      </c>
      <c r="T61" s="254">
        <v>34801695.211523898</v>
      </c>
      <c r="U61" s="254">
        <v>3544249.2409659843</v>
      </c>
      <c r="V61" s="254">
        <v>37952028.485207506</v>
      </c>
      <c r="W61" s="254">
        <v>0.97598259683250588</v>
      </c>
      <c r="X61" s="254">
        <v>30338611.488208432</v>
      </c>
      <c r="Y61" s="254">
        <v>6548510.9690481685</v>
      </c>
      <c r="Z61" s="254">
        <v>2233746.3042519265</v>
      </c>
      <c r="AA61" s="254">
        <v>36017615.309978373</v>
      </c>
      <c r="AB61" s="254">
        <v>9207382.8718291037</v>
      </c>
      <c r="AC61" s="254">
        <v>82314778.059654728</v>
      </c>
      <c r="AD61" s="254">
        <v>47341517.926815674</v>
      </c>
      <c r="AE61" s="254">
        <v>1.5149482123925593</v>
      </c>
      <c r="AF61" s="254"/>
      <c r="AG61" s="254"/>
      <c r="AH61" s="254"/>
      <c r="AI61" s="254"/>
      <c r="AJ61" s="262"/>
      <c r="AK61" s="262"/>
      <c r="AL61" s="262"/>
      <c r="AM61" s="262"/>
      <c r="AN61" s="262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62"/>
      <c r="BH61" s="262"/>
      <c r="BI61" s="262"/>
      <c r="BJ61" s="262"/>
      <c r="BK61" s="262"/>
      <c r="BL61" s="262"/>
      <c r="BM61" s="262"/>
      <c r="BN61" s="262"/>
      <c r="BO61" s="262"/>
      <c r="BP61" s="262"/>
      <c r="BQ61" s="262"/>
      <c r="BR61" s="262"/>
      <c r="BS61" s="262"/>
      <c r="BT61" s="262"/>
      <c r="BU61" s="208"/>
      <c r="BV61" s="208"/>
      <c r="BW61" s="208"/>
      <c r="BX61" s="208"/>
      <c r="BY61" s="208"/>
      <c r="BZ61" s="208"/>
      <c r="CA61" s="208"/>
      <c r="CB61" s="208"/>
      <c r="CC61" s="208"/>
      <c r="CD61" s="208"/>
      <c r="CE61" s="208"/>
      <c r="CF61" s="208"/>
      <c r="CG61" s="208"/>
      <c r="CH61" s="208"/>
      <c r="CI61" s="208"/>
      <c r="CJ61" s="208"/>
      <c r="CK61" s="208"/>
      <c r="CL61" s="208"/>
      <c r="CM61" s="208"/>
      <c r="CN61" s="208"/>
      <c r="CO61" s="208"/>
      <c r="CP61" s="208"/>
      <c r="CQ61" s="208"/>
      <c r="CR61" s="208"/>
      <c r="CS61" s="208"/>
    </row>
    <row r="62" spans="2:97" x14ac:dyDescent="0.25">
      <c r="B62" s="220">
        <f>+'Option inputs'!$B$18</f>
        <v>4</v>
      </c>
      <c r="C62" s="263" t="str">
        <f>'Option inputs'!$C$18</f>
        <v>Option 1D</v>
      </c>
      <c r="D62" s="218"/>
      <c r="E62" s="220" t="s">
        <v>35</v>
      </c>
      <c r="F62" s="254">
        <v>0</v>
      </c>
      <c r="G62" s="254">
        <v>5841264.573236282</v>
      </c>
      <c r="H62" s="254">
        <v>12354815.886528101</v>
      </c>
      <c r="I62" s="254">
        <v>56133823.091027915</v>
      </c>
      <c r="J62" s="254">
        <v>17616154.304002006</v>
      </c>
      <c r="K62" s="254">
        <v>18993121.050231755</v>
      </c>
      <c r="L62" s="254">
        <v>23674950.472264398</v>
      </c>
      <c r="M62" s="254">
        <v>7434811.7134835627</v>
      </c>
      <c r="N62" s="254">
        <v>9204863.5298527405</v>
      </c>
      <c r="O62" s="254">
        <v>95581386.007895499</v>
      </c>
      <c r="P62" s="254">
        <v>7584972.4478930924</v>
      </c>
      <c r="Q62" s="254">
        <v>0.41913054563703572</v>
      </c>
      <c r="R62" s="254">
        <v>47863992.65143799</v>
      </c>
      <c r="S62" s="254">
        <v>23333789.523290608</v>
      </c>
      <c r="T62" s="254">
        <v>35886876.029243506</v>
      </c>
      <c r="U62" s="254">
        <v>3544303.8165798285</v>
      </c>
      <c r="V62" s="254">
        <v>41455778.372742377</v>
      </c>
      <c r="W62" s="254">
        <v>84700.138240743734</v>
      </c>
      <c r="X62" s="254">
        <v>29441833.521413371</v>
      </c>
      <c r="Y62" s="254">
        <v>7681697.9694724968</v>
      </c>
      <c r="Z62" s="254">
        <v>3368328.3774935724</v>
      </c>
      <c r="AA62" s="254">
        <v>35408982.396217585</v>
      </c>
      <c r="AB62" s="254">
        <v>10032867.612346996</v>
      </c>
      <c r="AC62" s="254">
        <v>83693595.762411878</v>
      </c>
      <c r="AD62" s="254">
        <v>48791276.524552017</v>
      </c>
      <c r="AE62" s="254">
        <v>0.90482880088829187</v>
      </c>
      <c r="AF62" s="254"/>
      <c r="AG62" s="254"/>
      <c r="AH62" s="254"/>
      <c r="AI62" s="254"/>
      <c r="AJ62" s="262"/>
      <c r="AK62" s="262"/>
      <c r="AL62" s="262"/>
      <c r="AM62" s="262"/>
      <c r="AN62" s="262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62"/>
      <c r="BH62" s="262"/>
      <c r="BI62" s="262"/>
      <c r="BJ62" s="262"/>
      <c r="BK62" s="262"/>
      <c r="BL62" s="262"/>
      <c r="BM62" s="262"/>
      <c r="BN62" s="262"/>
      <c r="BO62" s="262"/>
      <c r="BP62" s="262"/>
      <c r="BQ62" s="262"/>
      <c r="BR62" s="262"/>
      <c r="BS62" s="262"/>
      <c r="BT62" s="262"/>
      <c r="BU62" s="208"/>
      <c r="BV62" s="208"/>
      <c r="BW62" s="208"/>
      <c r="BX62" s="208"/>
      <c r="BY62" s="208"/>
      <c r="BZ62" s="208"/>
      <c r="CA62" s="208"/>
      <c r="CB62" s="208"/>
      <c r="CC62" s="208"/>
      <c r="CD62" s="208"/>
      <c r="CE62" s="208"/>
      <c r="CF62" s="208"/>
      <c r="CG62" s="208"/>
      <c r="CH62" s="208"/>
      <c r="CI62" s="208"/>
      <c r="CJ62" s="208"/>
      <c r="CK62" s="208"/>
      <c r="CL62" s="208"/>
      <c r="CM62" s="208"/>
      <c r="CN62" s="208"/>
      <c r="CO62" s="208"/>
      <c r="CP62" s="208"/>
      <c r="CQ62" s="208"/>
      <c r="CR62" s="208"/>
      <c r="CS62" s="208"/>
    </row>
    <row r="63" spans="2:97" x14ac:dyDescent="0.25">
      <c r="E63" s="215"/>
      <c r="AF63" s="207"/>
      <c r="AG63" s="207"/>
      <c r="AH63" s="207"/>
      <c r="AI63" s="207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  <c r="BI63" s="208"/>
      <c r="BJ63" s="208"/>
      <c r="BK63" s="208"/>
      <c r="BL63" s="208"/>
      <c r="BM63" s="208"/>
      <c r="BN63" s="208"/>
      <c r="BO63" s="208"/>
      <c r="BP63" s="208"/>
      <c r="BQ63" s="208"/>
      <c r="BR63" s="208"/>
      <c r="BS63" s="208"/>
      <c r="BT63" s="208"/>
      <c r="BU63" s="208"/>
      <c r="BV63" s="208"/>
      <c r="BW63" s="208"/>
      <c r="BX63" s="208"/>
      <c r="BY63" s="208"/>
      <c r="BZ63" s="208"/>
      <c r="CA63" s="208"/>
      <c r="CB63" s="208"/>
      <c r="CC63" s="208"/>
      <c r="CD63" s="208"/>
      <c r="CE63" s="208"/>
      <c r="CF63" s="208"/>
      <c r="CG63" s="208"/>
      <c r="CH63" s="208"/>
      <c r="CI63" s="208"/>
      <c r="CJ63" s="208"/>
      <c r="CK63" s="208"/>
      <c r="CL63" s="208"/>
      <c r="CM63" s="208"/>
      <c r="CN63" s="208"/>
      <c r="CO63" s="208"/>
      <c r="CP63" s="208"/>
      <c r="CQ63" s="208"/>
      <c r="CR63" s="208"/>
      <c r="CS63" s="208"/>
    </row>
    <row r="64" spans="2:97" ht="13" x14ac:dyDescent="0.3">
      <c r="B64" s="165" t="s">
        <v>14</v>
      </c>
      <c r="C64" s="216" t="s">
        <v>13</v>
      </c>
      <c r="D64" s="165" t="s">
        <v>87</v>
      </c>
      <c r="E64" s="217" t="s">
        <v>7</v>
      </c>
      <c r="F64" s="260" t="str">
        <f>Calculation!G$32</f>
        <v>FY 2019-20</v>
      </c>
      <c r="G64" s="260" t="str">
        <f>Calculation!H$32</f>
        <v>FY 2020-21</v>
      </c>
      <c r="H64" s="260" t="str">
        <f>Calculation!I$32</f>
        <v>FY 2021-22</v>
      </c>
      <c r="I64" s="260" t="str">
        <f>Calculation!J$32</f>
        <v>FY 2022-23</v>
      </c>
      <c r="J64" s="260" t="str">
        <f>Calculation!K$32</f>
        <v>FY 2023-24</v>
      </c>
      <c r="K64" s="260" t="str">
        <f>Calculation!L$32</f>
        <v>FY 2024-25</v>
      </c>
      <c r="L64" s="260" t="str">
        <f>Calculation!M$32</f>
        <v>FY 2025-26</v>
      </c>
      <c r="M64" s="260" t="str">
        <f>Calculation!N$32</f>
        <v>FY 2026-27</v>
      </c>
      <c r="N64" s="260" t="str">
        <f>Calculation!O$32</f>
        <v>FY 2027-28</v>
      </c>
      <c r="O64" s="260" t="str">
        <f>Calculation!P$32</f>
        <v>FY 2028-29</v>
      </c>
      <c r="P64" s="260" t="str">
        <f>Calculation!Q$32</f>
        <v>FY 2029-30</v>
      </c>
      <c r="Q64" s="260" t="str">
        <f>Calculation!R$32</f>
        <v>FY 2030-31</v>
      </c>
      <c r="R64" s="260" t="str">
        <f>Calculation!S$32</f>
        <v>FY 2031-32</v>
      </c>
      <c r="S64" s="260" t="str">
        <f>Calculation!T$32</f>
        <v>FY 2032-33</v>
      </c>
      <c r="T64" s="260" t="str">
        <f>Calculation!U$32</f>
        <v>FY 2033-34</v>
      </c>
      <c r="U64" s="260" t="str">
        <f>Calculation!V$32</f>
        <v>FY 2034-35</v>
      </c>
      <c r="V64" s="260" t="str">
        <f>Calculation!W$32</f>
        <v>FY 2035-36</v>
      </c>
      <c r="W64" s="260" t="str">
        <f>Calculation!X$32</f>
        <v>FY 2036-37</v>
      </c>
      <c r="X64" s="260" t="str">
        <f>Calculation!Y$32</f>
        <v>FY 2037-38</v>
      </c>
      <c r="Y64" s="260" t="str">
        <f>Calculation!Z$32</f>
        <v>FY 2038-39</v>
      </c>
      <c r="Z64" s="260" t="str">
        <f>Calculation!AA$32</f>
        <v>FY 2039-40</v>
      </c>
      <c r="AA64" s="260" t="str">
        <f>Calculation!AB$32</f>
        <v>FY 2040-41</v>
      </c>
      <c r="AB64" s="260" t="str">
        <f>Calculation!AC$32</f>
        <v>FY 2041-42</v>
      </c>
      <c r="AC64" s="260" t="str">
        <f>Calculation!AD$32</f>
        <v>FY 2042-43</v>
      </c>
      <c r="AD64" s="260" t="str">
        <f>Calculation!AE$32</f>
        <v>FY 2043-44</v>
      </c>
      <c r="AE64" s="260" t="str">
        <f>Calculation!AF$32</f>
        <v>FY 2044-45</v>
      </c>
      <c r="AF64" s="260" t="str">
        <f>Calculation!AG$32</f>
        <v>FY 2045-46</v>
      </c>
      <c r="AG64" s="260" t="str">
        <f>Calculation!AH$32</f>
        <v>FY 2046-47</v>
      </c>
      <c r="AH64" s="260" t="str">
        <f>Calculation!AI$32</f>
        <v>FY 2047-48</v>
      </c>
      <c r="AI64" s="260" t="str">
        <f>Calculation!AJ$32</f>
        <v>FY 2048-49</v>
      </c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208"/>
      <c r="BN64" s="208"/>
      <c r="BO64" s="208"/>
      <c r="BP64" s="208"/>
      <c r="BQ64" s="208"/>
      <c r="BR64" s="208"/>
      <c r="BS64" s="208"/>
      <c r="BT64" s="208"/>
      <c r="BU64" s="208"/>
      <c r="BV64" s="208"/>
      <c r="BW64" s="208"/>
      <c r="BX64" s="208"/>
      <c r="BY64" s="208"/>
      <c r="BZ64" s="208"/>
      <c r="CA64" s="208"/>
      <c r="CB64" s="208"/>
      <c r="CC64" s="208"/>
      <c r="CD64" s="208"/>
      <c r="CE64" s="208"/>
      <c r="CF64" s="208"/>
      <c r="CG64" s="208"/>
      <c r="CH64" s="208"/>
      <c r="CI64" s="208"/>
      <c r="CJ64" s="208"/>
      <c r="CK64" s="208"/>
      <c r="CL64" s="208"/>
      <c r="CM64" s="208"/>
      <c r="CN64" s="208"/>
      <c r="CO64" s="208"/>
      <c r="CP64" s="208"/>
      <c r="CQ64" s="208"/>
      <c r="CR64" s="208"/>
      <c r="CS64" s="208"/>
    </row>
    <row r="65" spans="1:97" x14ac:dyDescent="0.25">
      <c r="B65" s="220">
        <f>+'Option inputs'!$B$14</f>
        <v>0</v>
      </c>
      <c r="C65" s="261" t="str">
        <f>'Option inputs'!$C$14</f>
        <v>Base case</v>
      </c>
      <c r="D65" s="218"/>
      <c r="E65" s="220" t="s">
        <v>35</v>
      </c>
      <c r="F65" s="254">
        <v>0</v>
      </c>
      <c r="G65" s="254">
        <v>25555983.320810404</v>
      </c>
      <c r="H65" s="254">
        <v>14169848.890370687</v>
      </c>
      <c r="I65" s="254">
        <v>23270103.747493934</v>
      </c>
      <c r="J65" s="254">
        <v>52799463.830682814</v>
      </c>
      <c r="K65" s="254">
        <v>64437358.490019523</v>
      </c>
      <c r="L65" s="254">
        <v>4.0782360978664798</v>
      </c>
      <c r="M65" s="254">
        <v>4.3186160343767854</v>
      </c>
      <c r="N65" s="254">
        <v>13042227.246643528</v>
      </c>
      <c r="O65" s="254">
        <v>4.845620895530546</v>
      </c>
      <c r="P65" s="254">
        <v>5.174368177253208</v>
      </c>
      <c r="Q65" s="254">
        <v>29963292.735915247</v>
      </c>
      <c r="R65" s="254">
        <v>978742.1130147978</v>
      </c>
      <c r="S65" s="254">
        <v>76005891.127774104</v>
      </c>
      <c r="T65" s="254">
        <v>42828955.268419065</v>
      </c>
      <c r="U65" s="254">
        <v>38783.306415689811</v>
      </c>
      <c r="V65" s="254">
        <v>105888658.56112649</v>
      </c>
      <c r="W65" s="254">
        <v>7.659889408833588</v>
      </c>
      <c r="X65" s="254">
        <v>8.1116319379779931</v>
      </c>
      <c r="Y65" s="254">
        <v>24426766.084235206</v>
      </c>
      <c r="Z65" s="254">
        <v>715705.47001171613</v>
      </c>
      <c r="AA65" s="254">
        <v>4247714.7191075301</v>
      </c>
      <c r="AB65" s="254">
        <v>71868091.258253619</v>
      </c>
      <c r="AC65" s="254">
        <v>30021940.121275634</v>
      </c>
      <c r="AD65" s="254">
        <v>34197885.029570632</v>
      </c>
      <c r="AE65" s="254">
        <v>12.123732016170473</v>
      </c>
      <c r="AF65" s="254"/>
      <c r="AG65" s="254"/>
      <c r="AH65" s="254"/>
      <c r="AI65" s="254"/>
      <c r="AJ65" s="262"/>
      <c r="AK65" s="262"/>
      <c r="AL65" s="262"/>
      <c r="AM65" s="262"/>
      <c r="AN65" s="262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62"/>
      <c r="BH65" s="262"/>
      <c r="BI65" s="262"/>
      <c r="BJ65" s="262"/>
      <c r="BK65" s="262"/>
      <c r="BL65" s="262"/>
      <c r="BM65" s="262"/>
      <c r="BN65" s="262"/>
      <c r="BO65" s="208"/>
      <c r="BP65" s="208"/>
      <c r="BQ65" s="208"/>
      <c r="BR65" s="208"/>
      <c r="BS65" s="208"/>
      <c r="BT65" s="208"/>
      <c r="BU65" s="208"/>
      <c r="BV65" s="208"/>
      <c r="BW65" s="208"/>
      <c r="BX65" s="208"/>
      <c r="BY65" s="208"/>
      <c r="BZ65" s="208"/>
      <c r="CA65" s="208"/>
      <c r="CB65" s="208"/>
      <c r="CC65" s="208"/>
      <c r="CD65" s="208"/>
      <c r="CE65" s="208"/>
      <c r="CF65" s="208"/>
      <c r="CG65" s="208"/>
      <c r="CH65" s="208"/>
      <c r="CI65" s="208"/>
      <c r="CJ65" s="208"/>
      <c r="CK65" s="208"/>
      <c r="CL65" s="208"/>
      <c r="CM65" s="208"/>
      <c r="CN65" s="208"/>
      <c r="CO65" s="208"/>
      <c r="CP65" s="208"/>
      <c r="CQ65" s="208"/>
      <c r="CR65" s="208"/>
      <c r="CS65" s="208"/>
    </row>
    <row r="66" spans="1:97" x14ac:dyDescent="0.25">
      <c r="B66" s="220">
        <f>+'Option inputs'!$B$15</f>
        <v>1</v>
      </c>
      <c r="C66" s="263" t="str">
        <f>'Option inputs'!$C$15</f>
        <v>Option 1A</v>
      </c>
      <c r="D66" s="218"/>
      <c r="E66" s="220" t="s">
        <v>35</v>
      </c>
      <c r="F66" s="254">
        <v>0</v>
      </c>
      <c r="G66" s="254">
        <v>25555983.556841612</v>
      </c>
      <c r="H66" s="254">
        <v>17166459.186521057</v>
      </c>
      <c r="I66" s="254">
        <v>22202963.256467659</v>
      </c>
      <c r="J66" s="254">
        <v>58711140.264255837</v>
      </c>
      <c r="K66" s="254">
        <v>79337193.574667826</v>
      </c>
      <c r="L66" s="254">
        <v>1.3592908490381983</v>
      </c>
      <c r="M66" s="254">
        <v>1.4394160526156212</v>
      </c>
      <c r="N66" s="254">
        <v>13032408.826104505</v>
      </c>
      <c r="O66" s="254">
        <v>1.6150329527340872</v>
      </c>
      <c r="P66" s="254">
        <v>148005.55699997416</v>
      </c>
      <c r="Q66" s="254">
        <v>27109751.718402702</v>
      </c>
      <c r="R66" s="254">
        <v>1225482.6680294531</v>
      </c>
      <c r="S66" s="254">
        <v>78341858.517975539</v>
      </c>
      <c r="T66" s="254">
        <v>44275211.720910557</v>
      </c>
      <c r="U66" s="254">
        <v>2.2809899911084583</v>
      </c>
      <c r="V66" s="254">
        <v>114914098.51816964</v>
      </c>
      <c r="W66" s="254">
        <v>2.5523971217559343</v>
      </c>
      <c r="X66" s="254">
        <v>2.7028650835004711</v>
      </c>
      <c r="Y66" s="254">
        <v>25221640.294010147</v>
      </c>
      <c r="Z66" s="254">
        <v>7071461.1102977609</v>
      </c>
      <c r="AA66" s="254">
        <v>8767769.7213769834</v>
      </c>
      <c r="AB66" s="254">
        <v>99864256.689850509</v>
      </c>
      <c r="AC66" s="254">
        <v>31085199.818673845</v>
      </c>
      <c r="AD66" s="254">
        <v>31626606.610463575</v>
      </c>
      <c r="AE66" s="254">
        <v>4.0376467687907285</v>
      </c>
      <c r="AF66" s="254"/>
      <c r="AG66" s="254"/>
      <c r="AH66" s="254"/>
      <c r="AI66" s="254"/>
      <c r="AJ66" s="262"/>
      <c r="AK66" s="262"/>
      <c r="AL66" s="262"/>
      <c r="AM66" s="262"/>
      <c r="AN66" s="262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62"/>
      <c r="BH66" s="262"/>
      <c r="BI66" s="262"/>
      <c r="BJ66" s="262"/>
      <c r="BK66" s="262"/>
      <c r="BL66" s="262"/>
      <c r="BM66" s="262"/>
      <c r="BN66" s="262"/>
      <c r="BO66" s="208"/>
      <c r="BP66" s="208"/>
      <c r="BQ66" s="208"/>
      <c r="BR66" s="208"/>
      <c r="BS66" s="208"/>
      <c r="BT66" s="208"/>
      <c r="BU66" s="208"/>
      <c r="BV66" s="208"/>
      <c r="BW66" s="208"/>
      <c r="BX66" s="208"/>
      <c r="BY66" s="208"/>
      <c r="BZ66" s="208"/>
      <c r="CA66" s="208"/>
      <c r="CB66" s="208"/>
      <c r="CC66" s="208"/>
      <c r="CD66" s="208"/>
      <c r="CE66" s="208"/>
      <c r="CF66" s="208"/>
      <c r="CG66" s="208"/>
      <c r="CH66" s="208"/>
      <c r="CI66" s="208"/>
      <c r="CJ66" s="208"/>
      <c r="CK66" s="208"/>
      <c r="CL66" s="208"/>
      <c r="CM66" s="208"/>
      <c r="CN66" s="208"/>
      <c r="CO66" s="208"/>
      <c r="CP66" s="208"/>
      <c r="CQ66" s="208"/>
      <c r="CR66" s="208"/>
      <c r="CS66" s="208"/>
    </row>
    <row r="67" spans="1:97" x14ac:dyDescent="0.25">
      <c r="B67" s="220">
        <f>+'Option inputs'!$B$16</f>
        <v>2</v>
      </c>
      <c r="C67" s="263" t="str">
        <f>'Option inputs'!$C$16</f>
        <v>Option 1B</v>
      </c>
      <c r="D67" s="218"/>
      <c r="E67" s="220" t="s">
        <v>35</v>
      </c>
      <c r="F67" s="254">
        <v>0</v>
      </c>
      <c r="G67" s="254">
        <v>25555982.134228472</v>
      </c>
      <c r="H67" s="254">
        <v>14169849.805169415</v>
      </c>
      <c r="I67" s="254">
        <v>20835972.467159946</v>
      </c>
      <c r="J67" s="254">
        <v>53840338.901426591</v>
      </c>
      <c r="K67" s="254">
        <v>64081251.606868833</v>
      </c>
      <c r="L67" s="254">
        <v>5.3724068341965046</v>
      </c>
      <c r="M67" s="254">
        <v>5.6887268234331083</v>
      </c>
      <c r="N67" s="254">
        <v>12744243.671559269</v>
      </c>
      <c r="O67" s="254">
        <v>6.3834859273972562</v>
      </c>
      <c r="P67" s="254">
        <v>988638.49889359181</v>
      </c>
      <c r="Q67" s="254">
        <v>27855144.774965141</v>
      </c>
      <c r="R67" s="254">
        <v>3662265.4578491761</v>
      </c>
      <c r="S67" s="254">
        <v>80697982.866468251</v>
      </c>
      <c r="T67" s="254">
        <v>48206604.45912803</v>
      </c>
      <c r="U67" s="254">
        <v>1512287.3187515691</v>
      </c>
      <c r="V67" s="254">
        <v>122204878.63164222</v>
      </c>
      <c r="W67" s="254">
        <v>10.095826120268072</v>
      </c>
      <c r="X67" s="254">
        <v>10.692213332936701</v>
      </c>
      <c r="Y67" s="254">
        <v>25461721.813724153</v>
      </c>
      <c r="Z67" s="254">
        <v>4051544.9805991664</v>
      </c>
      <c r="AA67" s="254">
        <v>6196841.8707999615</v>
      </c>
      <c r="AB67" s="254">
        <v>97292762.519141659</v>
      </c>
      <c r="AC67" s="254">
        <v>30616605.940657809</v>
      </c>
      <c r="AD67" s="254">
        <v>32444164.489173405</v>
      </c>
      <c r="AE67" s="254">
        <v>16.00379483277159</v>
      </c>
      <c r="AF67" s="254"/>
      <c r="AG67" s="254"/>
      <c r="AH67" s="254"/>
      <c r="AI67" s="254"/>
      <c r="AJ67" s="262"/>
      <c r="AK67" s="262"/>
      <c r="AL67" s="262"/>
      <c r="AM67" s="262"/>
      <c r="AN67" s="262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62"/>
      <c r="BH67" s="262"/>
      <c r="BI67" s="262"/>
      <c r="BJ67" s="262"/>
      <c r="BK67" s="262"/>
      <c r="BL67" s="262"/>
      <c r="BM67" s="262"/>
      <c r="BN67" s="262"/>
      <c r="BO67" s="208"/>
      <c r="BP67" s="208"/>
      <c r="BQ67" s="208"/>
      <c r="BR67" s="208"/>
      <c r="BS67" s="208"/>
      <c r="BT67" s="208"/>
      <c r="BU67" s="208"/>
      <c r="BV67" s="208"/>
      <c r="BW67" s="208"/>
      <c r="BX67" s="208"/>
      <c r="BY67" s="208"/>
      <c r="BZ67" s="208"/>
      <c r="CA67" s="208"/>
      <c r="CB67" s="208"/>
      <c r="CC67" s="208"/>
      <c r="CD67" s="208"/>
      <c r="CE67" s="208"/>
      <c r="CF67" s="208"/>
      <c r="CG67" s="208"/>
      <c r="CH67" s="208"/>
      <c r="CI67" s="208"/>
      <c r="CJ67" s="208"/>
      <c r="CK67" s="208"/>
      <c r="CL67" s="208"/>
      <c r="CM67" s="208"/>
      <c r="CN67" s="208"/>
      <c r="CO67" s="208"/>
      <c r="CP67" s="208"/>
      <c r="CQ67" s="208"/>
      <c r="CR67" s="208"/>
      <c r="CS67" s="208"/>
    </row>
    <row r="68" spans="1:97" x14ac:dyDescent="0.25">
      <c r="B68" s="220">
        <f>+'Option inputs'!$B$17</f>
        <v>3</v>
      </c>
      <c r="C68" s="263" t="str">
        <f>'Option inputs'!$C$17</f>
        <v>Option 1C</v>
      </c>
      <c r="D68" s="218"/>
      <c r="E68" s="220" t="s">
        <v>35</v>
      </c>
      <c r="F68" s="254">
        <v>0</v>
      </c>
      <c r="G68" s="254">
        <v>25555983.416754227</v>
      </c>
      <c r="H68" s="254">
        <v>15356157.021384675</v>
      </c>
      <c r="I68" s="254">
        <v>22130764.210318252</v>
      </c>
      <c r="J68" s="254">
        <v>55444389.833985358</v>
      </c>
      <c r="K68" s="254">
        <v>71362072.439142659</v>
      </c>
      <c r="L68" s="254">
        <v>1.1491717694001005</v>
      </c>
      <c r="M68" s="254">
        <v>1.2168650521406339</v>
      </c>
      <c r="N68" s="254">
        <v>15365782.09664155</v>
      </c>
      <c r="O68" s="254">
        <v>1.3654316269314624</v>
      </c>
      <c r="P68" s="254">
        <v>1.4835261289661186</v>
      </c>
      <c r="Q68" s="254">
        <v>30185571.071189906</v>
      </c>
      <c r="R68" s="254">
        <v>136345.52914135077</v>
      </c>
      <c r="S68" s="254">
        <v>73895867.693521187</v>
      </c>
      <c r="T68" s="254">
        <v>41623221.70938433</v>
      </c>
      <c r="U68" s="254">
        <v>1.9244880286262807</v>
      </c>
      <c r="V68" s="254">
        <v>106355991.35389234</v>
      </c>
      <c r="W68" s="254">
        <v>2.159233103278583</v>
      </c>
      <c r="X68" s="254">
        <v>2.2867166095830744</v>
      </c>
      <c r="Y68" s="254">
        <v>24347147.261034835</v>
      </c>
      <c r="Z68" s="254">
        <v>2474644.5492878947</v>
      </c>
      <c r="AA68" s="254">
        <v>7114766.4092180524</v>
      </c>
      <c r="AB68" s="254">
        <v>74122081.548192412</v>
      </c>
      <c r="AC68" s="254">
        <v>30180031.234186675</v>
      </c>
      <c r="AD68" s="254">
        <v>32875692.570832558</v>
      </c>
      <c r="AE68" s="254">
        <v>3.42078629969118</v>
      </c>
      <c r="AF68" s="254"/>
      <c r="AG68" s="254"/>
      <c r="AH68" s="254"/>
      <c r="AI68" s="254"/>
      <c r="AJ68" s="262"/>
      <c r="AK68" s="262"/>
      <c r="AL68" s="262"/>
      <c r="AM68" s="262"/>
      <c r="AN68" s="262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62"/>
      <c r="BH68" s="262"/>
      <c r="BI68" s="262"/>
      <c r="BJ68" s="262"/>
      <c r="BK68" s="262"/>
      <c r="BL68" s="262"/>
      <c r="BM68" s="262"/>
      <c r="BN68" s="262"/>
      <c r="BO68" s="208"/>
      <c r="BP68" s="208"/>
      <c r="BQ68" s="208"/>
      <c r="BR68" s="208"/>
      <c r="BS68" s="208"/>
      <c r="BT68" s="208"/>
      <c r="BU68" s="208"/>
      <c r="BV68" s="208"/>
      <c r="BW68" s="208"/>
      <c r="BX68" s="208"/>
      <c r="BY68" s="208"/>
      <c r="BZ68" s="208"/>
      <c r="CA68" s="208"/>
      <c r="CB68" s="208"/>
      <c r="CC68" s="208"/>
      <c r="CD68" s="208"/>
      <c r="CE68" s="208"/>
      <c r="CF68" s="208"/>
      <c r="CG68" s="208"/>
      <c r="CH68" s="208"/>
      <c r="CI68" s="208"/>
      <c r="CJ68" s="208"/>
      <c r="CK68" s="208"/>
      <c r="CL68" s="208"/>
      <c r="CM68" s="208"/>
      <c r="CN68" s="208"/>
      <c r="CO68" s="208"/>
      <c r="CP68" s="208"/>
      <c r="CQ68" s="208"/>
      <c r="CR68" s="208"/>
      <c r="CS68" s="208"/>
    </row>
    <row r="69" spans="1:97" x14ac:dyDescent="0.25">
      <c r="B69" s="220">
        <f>+'Option inputs'!$B$18</f>
        <v>4</v>
      </c>
      <c r="C69" s="263" t="str">
        <f>'Option inputs'!$C$18</f>
        <v>Option 1D</v>
      </c>
      <c r="D69" s="218"/>
      <c r="E69" s="220" t="s">
        <v>35</v>
      </c>
      <c r="F69" s="254">
        <v>0</v>
      </c>
      <c r="G69" s="254">
        <v>25555983.089230817</v>
      </c>
      <c r="H69" s="254">
        <v>14169848.645324849</v>
      </c>
      <c r="I69" s="254">
        <v>22106859.707155924</v>
      </c>
      <c r="J69" s="254">
        <v>55639847.930702053</v>
      </c>
      <c r="K69" s="254">
        <v>71907720.422880501</v>
      </c>
      <c r="L69" s="254">
        <v>3.7310398464011234</v>
      </c>
      <c r="M69" s="254">
        <v>3.9507384635043654</v>
      </c>
      <c r="N69" s="254">
        <v>15331859.186854854</v>
      </c>
      <c r="O69" s="254">
        <v>4.4331927924537897</v>
      </c>
      <c r="P69" s="254">
        <v>4.7149200201893802</v>
      </c>
      <c r="Q69" s="254">
        <v>29961810.348422538</v>
      </c>
      <c r="R69" s="254">
        <v>542115.61143830256</v>
      </c>
      <c r="S69" s="254">
        <v>74137435.254357055</v>
      </c>
      <c r="T69" s="254">
        <v>41849381.943901196</v>
      </c>
      <c r="U69" s="254">
        <v>6.2550307939223213</v>
      </c>
      <c r="V69" s="254">
        <v>106283133.80880307</v>
      </c>
      <c r="W69" s="254">
        <v>7.0097729337267909</v>
      </c>
      <c r="X69" s="254">
        <v>7.4234478346104069</v>
      </c>
      <c r="Y69" s="254">
        <v>24378677.573574413</v>
      </c>
      <c r="Z69" s="254">
        <v>513686.26869340433</v>
      </c>
      <c r="AA69" s="254">
        <v>4590913.2040001964</v>
      </c>
      <c r="AB69" s="254">
        <v>72234177.193457469</v>
      </c>
      <c r="AC69" s="254">
        <v>30165266.150175411</v>
      </c>
      <c r="AD69" s="254">
        <v>33274983.146799106</v>
      </c>
      <c r="AE69" s="254">
        <v>11.105327006623163</v>
      </c>
      <c r="AF69" s="254"/>
      <c r="AG69" s="254"/>
      <c r="AH69" s="254"/>
      <c r="AI69" s="254"/>
      <c r="AJ69" s="262"/>
      <c r="AK69" s="262"/>
      <c r="AL69" s="262"/>
      <c r="AM69" s="262"/>
      <c r="AN69" s="262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62"/>
      <c r="BH69" s="262"/>
      <c r="BI69" s="262"/>
      <c r="BJ69" s="262"/>
      <c r="BK69" s="262"/>
      <c r="BL69" s="262"/>
      <c r="BM69" s="262"/>
      <c r="BN69" s="262"/>
      <c r="BO69" s="208"/>
      <c r="BP69" s="208"/>
      <c r="BQ69" s="208"/>
      <c r="BR69" s="208"/>
      <c r="BS69" s="208"/>
      <c r="BT69" s="208"/>
      <c r="BU69" s="208"/>
      <c r="BV69" s="208"/>
      <c r="BW69" s="208"/>
      <c r="BX69" s="208"/>
      <c r="BY69" s="208"/>
      <c r="BZ69" s="208"/>
      <c r="CA69" s="208"/>
      <c r="CB69" s="208"/>
      <c r="CC69" s="208"/>
      <c r="CD69" s="208"/>
      <c r="CE69" s="208"/>
      <c r="CF69" s="208"/>
      <c r="CG69" s="208"/>
      <c r="CH69" s="208"/>
      <c r="CI69" s="208"/>
      <c r="CJ69" s="208"/>
      <c r="CK69" s="208"/>
      <c r="CL69" s="208"/>
      <c r="CM69" s="208"/>
      <c r="CN69" s="208"/>
      <c r="CO69" s="208"/>
      <c r="CP69" s="208"/>
      <c r="CQ69" s="208"/>
      <c r="CR69" s="208"/>
      <c r="CS69" s="208"/>
    </row>
    <row r="70" spans="1:97" x14ac:dyDescent="0.25">
      <c r="E70" s="215"/>
      <c r="AF70" s="207"/>
      <c r="AG70" s="207"/>
      <c r="AH70" s="207"/>
      <c r="AI70" s="207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208"/>
      <c r="BD70" s="208"/>
      <c r="BE70" s="208"/>
      <c r="BF70" s="208"/>
      <c r="BG70" s="208"/>
      <c r="BH70" s="208"/>
      <c r="BI70" s="208"/>
      <c r="BJ70" s="208"/>
      <c r="BK70" s="208"/>
      <c r="BL70" s="208"/>
      <c r="BM70" s="208"/>
      <c r="BN70" s="208"/>
      <c r="BO70" s="208"/>
      <c r="BP70" s="208"/>
      <c r="BQ70" s="208"/>
      <c r="BR70" s="208"/>
      <c r="BS70" s="208"/>
      <c r="BT70" s="208"/>
      <c r="BU70" s="208"/>
      <c r="BV70" s="208"/>
      <c r="BW70" s="208"/>
      <c r="BX70" s="208"/>
      <c r="BY70" s="208"/>
      <c r="BZ70" s="208"/>
      <c r="CA70" s="208"/>
      <c r="CB70" s="208"/>
      <c r="CC70" s="208"/>
      <c r="CD70" s="208"/>
      <c r="CE70" s="208"/>
      <c r="CF70" s="208"/>
      <c r="CG70" s="208"/>
      <c r="CH70" s="208"/>
      <c r="CI70" s="208"/>
      <c r="CJ70" s="208"/>
      <c r="CK70" s="208"/>
      <c r="CL70" s="208"/>
      <c r="CM70" s="208"/>
      <c r="CN70" s="208"/>
      <c r="CO70" s="208"/>
      <c r="CP70" s="208"/>
      <c r="CQ70" s="208"/>
      <c r="CR70" s="208"/>
      <c r="CS70" s="208"/>
    </row>
    <row r="71" spans="1:97" ht="13" x14ac:dyDescent="0.3">
      <c r="B71" s="257" t="s">
        <v>58</v>
      </c>
      <c r="C71" s="258"/>
      <c r="D71" s="257"/>
      <c r="E71" s="267" t="s">
        <v>54</v>
      </c>
      <c r="F71" s="258"/>
      <c r="G71" s="257"/>
      <c r="H71" s="257"/>
      <c r="I71" s="257"/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08"/>
      <c r="AK71" s="208"/>
      <c r="AL71" s="208"/>
      <c r="AM71" s="208"/>
      <c r="AN71" s="208"/>
      <c r="AO71" s="208"/>
      <c r="AP71" s="208"/>
      <c r="AQ71" s="208"/>
      <c r="AR71" s="208"/>
      <c r="AS71" s="208"/>
      <c r="AT71" s="208"/>
      <c r="AU71" s="208"/>
      <c r="AV71" s="208"/>
      <c r="AW71" s="208"/>
      <c r="AX71" s="208"/>
      <c r="AY71" s="208"/>
      <c r="AZ71" s="208"/>
      <c r="BA71" s="208"/>
      <c r="BB71" s="208"/>
      <c r="BC71" s="208"/>
      <c r="BD71" s="208"/>
      <c r="BE71" s="208"/>
      <c r="BF71" s="208"/>
      <c r="BG71" s="208"/>
      <c r="BH71" s="208"/>
      <c r="BI71" s="208"/>
      <c r="BJ71" s="208"/>
      <c r="BK71" s="208"/>
      <c r="BL71" s="208"/>
      <c r="BM71" s="208"/>
      <c r="BN71" s="208"/>
      <c r="BO71" s="208"/>
      <c r="BP71" s="208"/>
      <c r="BQ71" s="208"/>
      <c r="BR71" s="208"/>
      <c r="BS71" s="208"/>
      <c r="BT71" s="208"/>
      <c r="BU71" s="208"/>
      <c r="BV71" s="208"/>
      <c r="BW71" s="208"/>
      <c r="BX71" s="208"/>
      <c r="BY71" s="208"/>
      <c r="BZ71" s="208"/>
      <c r="CA71" s="208"/>
      <c r="CB71" s="208"/>
      <c r="CC71" s="208"/>
      <c r="CD71" s="208"/>
      <c r="CE71" s="208"/>
      <c r="CF71" s="208"/>
      <c r="CG71" s="208"/>
      <c r="CH71" s="208"/>
      <c r="CI71" s="208"/>
      <c r="CJ71" s="208"/>
      <c r="CK71" s="208"/>
      <c r="CL71" s="208"/>
      <c r="CM71" s="208"/>
      <c r="CN71" s="208"/>
      <c r="CO71" s="208"/>
      <c r="CP71" s="208"/>
      <c r="CQ71" s="208"/>
      <c r="CR71" s="208"/>
      <c r="CS71" s="208"/>
    </row>
    <row r="72" spans="1:97" s="208" customFormat="1" ht="13" x14ac:dyDescent="0.3">
      <c r="A72" s="230"/>
      <c r="B72" s="269"/>
      <c r="C72" s="270"/>
      <c r="D72" s="269"/>
      <c r="E72" s="271"/>
      <c r="F72" s="270"/>
      <c r="G72" s="269"/>
      <c r="H72" s="269"/>
      <c r="I72" s="269"/>
      <c r="J72" s="269"/>
      <c r="K72" s="269"/>
      <c r="L72" s="269"/>
      <c r="M72" s="269"/>
      <c r="N72" s="269"/>
      <c r="O72" s="269"/>
      <c r="P72" s="269"/>
      <c r="Q72" s="269"/>
      <c r="R72" s="269"/>
      <c r="S72" s="269"/>
      <c r="T72" s="269"/>
      <c r="U72" s="269"/>
      <c r="V72" s="269"/>
      <c r="W72" s="269"/>
      <c r="X72" s="269"/>
      <c r="Y72" s="269"/>
      <c r="Z72" s="269"/>
      <c r="AA72" s="269"/>
      <c r="AB72" s="269"/>
      <c r="AC72" s="269"/>
      <c r="AD72" s="269"/>
      <c r="AE72" s="269"/>
      <c r="AF72" s="269"/>
      <c r="AG72" s="269"/>
      <c r="AH72" s="269"/>
      <c r="AI72" s="269"/>
    </row>
    <row r="73" spans="1:97" ht="13" x14ac:dyDescent="0.3">
      <c r="B73" s="165" t="s">
        <v>14</v>
      </c>
      <c r="C73" s="216" t="s">
        <v>13</v>
      </c>
      <c r="D73" s="216" t="str">
        <f>D43</f>
        <v>Neutral</v>
      </c>
      <c r="E73" s="217" t="s">
        <v>7</v>
      </c>
      <c r="F73" s="260" t="str">
        <f>Calculation!G$32</f>
        <v>FY 2019-20</v>
      </c>
      <c r="G73" s="260" t="str">
        <f>Calculation!H$32</f>
        <v>FY 2020-21</v>
      </c>
      <c r="H73" s="260" t="str">
        <f>Calculation!I$32</f>
        <v>FY 2021-22</v>
      </c>
      <c r="I73" s="260" t="str">
        <f>Calculation!J$32</f>
        <v>FY 2022-23</v>
      </c>
      <c r="J73" s="260" t="str">
        <f>Calculation!K$32</f>
        <v>FY 2023-24</v>
      </c>
      <c r="K73" s="260" t="str">
        <f>Calculation!L$32</f>
        <v>FY 2024-25</v>
      </c>
      <c r="L73" s="260" t="str">
        <f>Calculation!M$32</f>
        <v>FY 2025-26</v>
      </c>
      <c r="M73" s="260" t="str">
        <f>Calculation!N$32</f>
        <v>FY 2026-27</v>
      </c>
      <c r="N73" s="260" t="str">
        <f>Calculation!O$32</f>
        <v>FY 2027-28</v>
      </c>
      <c r="O73" s="260" t="str">
        <f>Calculation!P$32</f>
        <v>FY 2028-29</v>
      </c>
      <c r="P73" s="260" t="str">
        <f>Calculation!Q$32</f>
        <v>FY 2029-30</v>
      </c>
      <c r="Q73" s="260" t="str">
        <f>Calculation!R$32</f>
        <v>FY 2030-31</v>
      </c>
      <c r="R73" s="260" t="str">
        <f>Calculation!S$32</f>
        <v>FY 2031-32</v>
      </c>
      <c r="S73" s="260" t="str">
        <f>Calculation!T$32</f>
        <v>FY 2032-33</v>
      </c>
      <c r="T73" s="260" t="str">
        <f>Calculation!U$32</f>
        <v>FY 2033-34</v>
      </c>
      <c r="U73" s="260" t="str">
        <f>Calculation!V$32</f>
        <v>FY 2034-35</v>
      </c>
      <c r="V73" s="260" t="str">
        <f>Calculation!W$32</f>
        <v>FY 2035-36</v>
      </c>
      <c r="W73" s="260" t="str">
        <f>Calculation!X$32</f>
        <v>FY 2036-37</v>
      </c>
      <c r="X73" s="260" t="str">
        <f>Calculation!Y$32</f>
        <v>FY 2037-38</v>
      </c>
      <c r="Y73" s="260" t="str">
        <f>Calculation!Z$32</f>
        <v>FY 2038-39</v>
      </c>
      <c r="Z73" s="260" t="str">
        <f>Calculation!AA$32</f>
        <v>FY 2039-40</v>
      </c>
      <c r="AA73" s="260" t="str">
        <f>Calculation!AB$32</f>
        <v>FY 2040-41</v>
      </c>
      <c r="AB73" s="260" t="str">
        <f>Calculation!AC$32</f>
        <v>FY 2041-42</v>
      </c>
      <c r="AC73" s="260" t="str">
        <f>Calculation!AD$32</f>
        <v>FY 2042-43</v>
      </c>
      <c r="AD73" s="260" t="str">
        <f>Calculation!AE$32</f>
        <v>FY 2043-44</v>
      </c>
      <c r="AE73" s="260" t="str">
        <f>Calculation!AF$32</f>
        <v>FY 2044-45</v>
      </c>
      <c r="AF73" s="260" t="str">
        <f>Calculation!AG$32</f>
        <v>FY 2045-46</v>
      </c>
      <c r="AG73" s="260" t="str">
        <f>Calculation!AH$32</f>
        <v>FY 2046-47</v>
      </c>
      <c r="AH73" s="260" t="str">
        <f>Calculation!AI$32</f>
        <v>FY 2047-48</v>
      </c>
      <c r="AI73" s="260" t="str">
        <f>Calculation!AJ$32</f>
        <v>FY 2048-49</v>
      </c>
      <c r="AJ73" s="208"/>
      <c r="AK73" s="208"/>
      <c r="AL73" s="208"/>
      <c r="AM73" s="208"/>
      <c r="AN73" s="208"/>
      <c r="AO73" s="208"/>
      <c r="AP73" s="208"/>
      <c r="AQ73" s="208"/>
      <c r="AR73" s="208"/>
      <c r="AS73" s="208"/>
      <c r="AT73" s="208"/>
      <c r="AU73" s="208"/>
      <c r="AV73" s="208"/>
      <c r="AW73" s="208"/>
      <c r="AX73" s="208"/>
      <c r="AY73" s="208"/>
      <c r="AZ73" s="208"/>
      <c r="BA73" s="208"/>
      <c r="BB73" s="208"/>
      <c r="BC73" s="208"/>
      <c r="BD73" s="208"/>
      <c r="BE73" s="208"/>
      <c r="BF73" s="208"/>
      <c r="BG73" s="208"/>
      <c r="BH73" s="208"/>
      <c r="BI73" s="208"/>
      <c r="BJ73" s="208"/>
      <c r="BK73" s="208"/>
      <c r="BL73" s="208"/>
      <c r="BM73" s="208"/>
      <c r="BN73" s="208"/>
      <c r="BO73" s="208"/>
      <c r="BP73" s="208"/>
      <c r="BQ73" s="208"/>
      <c r="BR73" s="208"/>
      <c r="BS73" s="208"/>
      <c r="BT73" s="208"/>
      <c r="BU73" s="208"/>
      <c r="BV73" s="208"/>
      <c r="BW73" s="208"/>
      <c r="BX73" s="208"/>
      <c r="BY73" s="208"/>
      <c r="BZ73" s="208"/>
      <c r="CA73" s="208"/>
      <c r="CB73" s="208"/>
      <c r="CC73" s="208"/>
      <c r="CD73" s="208"/>
      <c r="CE73" s="208"/>
      <c r="CF73" s="208"/>
      <c r="CG73" s="208"/>
      <c r="CH73" s="208"/>
      <c r="CI73" s="208"/>
      <c r="CJ73" s="208"/>
      <c r="CK73" s="208"/>
      <c r="CL73" s="208"/>
      <c r="CM73" s="208"/>
      <c r="CN73" s="208"/>
      <c r="CO73" s="208"/>
      <c r="CP73" s="208"/>
      <c r="CQ73" s="208"/>
      <c r="CR73" s="208"/>
      <c r="CS73" s="208"/>
    </row>
    <row r="74" spans="1:97" x14ac:dyDescent="0.25">
      <c r="B74" s="220">
        <f>+'Option inputs'!$B$14</f>
        <v>0</v>
      </c>
      <c r="C74" s="261" t="str">
        <f>'Option inputs'!$C$14</f>
        <v>Base case</v>
      </c>
      <c r="D74" s="218"/>
      <c r="E74" s="220" t="s">
        <v>35</v>
      </c>
      <c r="F74" s="254">
        <v>0</v>
      </c>
      <c r="G74" s="254">
        <v>17.461748725824346</v>
      </c>
      <c r="H74" s="254">
        <v>1.4472569602495444</v>
      </c>
      <c r="I74" s="254">
        <v>1.487355137217123</v>
      </c>
      <c r="J74" s="254">
        <v>3.0352914543130107</v>
      </c>
      <c r="K74" s="254">
        <v>2.2015396217013841</v>
      </c>
      <c r="L74" s="254">
        <v>2.3056669432081516</v>
      </c>
      <c r="M74" s="254">
        <v>2.3570846790945734</v>
      </c>
      <c r="N74" s="254">
        <v>3.9431995176796835</v>
      </c>
      <c r="O74" s="254">
        <v>157867807.13901043</v>
      </c>
      <c r="P74" s="254">
        <v>7.815752365875511</v>
      </c>
      <c r="Q74" s="254">
        <v>0.72928598347473572</v>
      </c>
      <c r="R74" s="254">
        <v>776525540.09141922</v>
      </c>
      <c r="S74" s="254">
        <v>221527793.62256595</v>
      </c>
      <c r="T74" s="254">
        <v>147044461.54504743</v>
      </c>
      <c r="U74" s="254">
        <v>0</v>
      </c>
      <c r="V74" s="254">
        <v>1369985034.7888122</v>
      </c>
      <c r="W74" s="254">
        <v>7374000.5186966993</v>
      </c>
      <c r="X74" s="254">
        <v>0.71310697278190938</v>
      </c>
      <c r="Y74" s="254">
        <v>2.8601248015633431</v>
      </c>
      <c r="Z74" s="254">
        <v>240897975.47928736</v>
      </c>
      <c r="AA74" s="254">
        <v>1.5577571669826451</v>
      </c>
      <c r="AB74" s="254">
        <v>6.9392592304022136</v>
      </c>
      <c r="AC74" s="254">
        <v>52244418.111851424</v>
      </c>
      <c r="AD74" s="254">
        <v>176318252.82873142</v>
      </c>
      <c r="AE74" s="254">
        <v>9948313.0685213003</v>
      </c>
      <c r="AF74" s="254"/>
      <c r="AG74" s="254"/>
      <c r="AH74" s="254"/>
      <c r="AI74" s="254"/>
      <c r="AJ74" s="262"/>
      <c r="AK74" s="262"/>
      <c r="AL74" s="262"/>
      <c r="AM74" s="262"/>
      <c r="AN74" s="262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62"/>
      <c r="BH74" s="262"/>
      <c r="BI74" s="262"/>
      <c r="BJ74" s="262"/>
      <c r="BK74" s="262"/>
      <c r="BL74" s="262"/>
      <c r="BM74" s="262"/>
      <c r="BN74" s="262"/>
      <c r="BO74" s="208"/>
      <c r="BP74" s="208"/>
      <c r="BQ74" s="208"/>
      <c r="BR74" s="208"/>
      <c r="BS74" s="208"/>
      <c r="BT74" s="208"/>
      <c r="BU74" s="208"/>
      <c r="BV74" s="208"/>
      <c r="BW74" s="208"/>
      <c r="BX74" s="208"/>
      <c r="BY74" s="208"/>
      <c r="BZ74" s="208"/>
      <c r="CA74" s="208"/>
      <c r="CB74" s="208"/>
      <c r="CC74" s="208"/>
      <c r="CD74" s="208"/>
      <c r="CE74" s="208"/>
      <c r="CF74" s="208"/>
      <c r="CG74" s="208"/>
      <c r="CH74" s="208"/>
      <c r="CI74" s="208"/>
      <c r="CJ74" s="208"/>
      <c r="CK74" s="208"/>
      <c r="CL74" s="208"/>
      <c r="CM74" s="208"/>
      <c r="CN74" s="208"/>
      <c r="CO74" s="208"/>
      <c r="CP74" s="208"/>
      <c r="CQ74" s="208"/>
      <c r="CR74" s="208"/>
      <c r="CS74" s="208"/>
    </row>
    <row r="75" spans="1:97" x14ac:dyDescent="0.25">
      <c r="B75" s="220">
        <f>+'Option inputs'!$B$15</f>
        <v>1</v>
      </c>
      <c r="C75" s="263" t="str">
        <f>'Option inputs'!$C$15</f>
        <v>Option 1A</v>
      </c>
      <c r="D75" s="218"/>
      <c r="E75" s="220" t="s">
        <v>35</v>
      </c>
      <c r="F75" s="254">
        <v>0</v>
      </c>
      <c r="G75" s="254">
        <v>8.0025288878248393</v>
      </c>
      <c r="H75" s="254">
        <v>0.65929744652307509</v>
      </c>
      <c r="I75" s="254">
        <v>0.65437415866599835</v>
      </c>
      <c r="J75" s="254">
        <v>1.3235677616441219</v>
      </c>
      <c r="K75" s="254">
        <v>1.0060838450591356</v>
      </c>
      <c r="L75" s="254">
        <v>1.0791879014716936</v>
      </c>
      <c r="M75" s="254">
        <v>0.9550278674359286</v>
      </c>
      <c r="N75" s="254">
        <v>1.7712689222584077</v>
      </c>
      <c r="O75" s="254">
        <v>122300106.28011625</v>
      </c>
      <c r="P75" s="254">
        <v>3.6200846596625555</v>
      </c>
      <c r="Q75" s="254">
        <v>0.35368581455641168</v>
      </c>
      <c r="R75" s="254">
        <v>772530470.84568501</v>
      </c>
      <c r="S75" s="254">
        <v>231325606.69803897</v>
      </c>
      <c r="T75" s="254">
        <v>138178649.93223977</v>
      </c>
      <c r="U75" s="254">
        <v>0</v>
      </c>
      <c r="V75" s="254">
        <v>1334065313.6244969</v>
      </c>
      <c r="W75" s="254">
        <v>10159265.782544505</v>
      </c>
      <c r="X75" s="254">
        <v>0.34233429740035948</v>
      </c>
      <c r="Y75" s="254">
        <v>1.2490696235060048</v>
      </c>
      <c r="Z75" s="254">
        <v>254219009.90204495</v>
      </c>
      <c r="AA75" s="254">
        <v>4654428.7804644415</v>
      </c>
      <c r="AB75" s="254">
        <v>3.5969195371546272</v>
      </c>
      <c r="AC75" s="254">
        <v>38969174.860677548</v>
      </c>
      <c r="AD75" s="254">
        <v>213474231.41686863</v>
      </c>
      <c r="AE75" s="254">
        <v>8942998.1682016253</v>
      </c>
      <c r="AF75" s="254"/>
      <c r="AG75" s="254"/>
      <c r="AH75" s="254"/>
      <c r="AI75" s="254"/>
      <c r="AJ75" s="262"/>
      <c r="AK75" s="262"/>
      <c r="AL75" s="262"/>
      <c r="AM75" s="262"/>
      <c r="AN75" s="262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62"/>
      <c r="BH75" s="262"/>
      <c r="BI75" s="262"/>
      <c r="BJ75" s="262"/>
      <c r="BK75" s="262"/>
      <c r="BL75" s="262"/>
      <c r="BM75" s="262"/>
      <c r="BN75" s="262"/>
      <c r="BO75" s="208"/>
      <c r="BP75" s="208"/>
      <c r="BQ75" s="208"/>
      <c r="BR75" s="208"/>
      <c r="BS75" s="208"/>
      <c r="BT75" s="208"/>
      <c r="BU75" s="208"/>
      <c r="BV75" s="208"/>
      <c r="BW75" s="208"/>
      <c r="BX75" s="208"/>
      <c r="BY75" s="208"/>
      <c r="BZ75" s="208"/>
      <c r="CA75" s="208"/>
      <c r="CB75" s="208"/>
      <c r="CC75" s="208"/>
      <c r="CD75" s="208"/>
      <c r="CE75" s="208"/>
      <c r="CF75" s="208"/>
      <c r="CG75" s="208"/>
      <c r="CH75" s="208"/>
      <c r="CI75" s="208"/>
      <c r="CJ75" s="208"/>
      <c r="CK75" s="208"/>
      <c r="CL75" s="208"/>
      <c r="CM75" s="208"/>
      <c r="CN75" s="208"/>
      <c r="CO75" s="208"/>
      <c r="CP75" s="208"/>
      <c r="CQ75" s="208"/>
      <c r="CR75" s="208"/>
      <c r="CS75" s="208"/>
    </row>
    <row r="76" spans="1:97" x14ac:dyDescent="0.25">
      <c r="B76" s="220">
        <f>+'Option inputs'!$B$16</f>
        <v>2</v>
      </c>
      <c r="C76" s="263" t="str">
        <f>'Option inputs'!$C$16</f>
        <v>Option 1B</v>
      </c>
      <c r="D76" s="218"/>
      <c r="E76" s="220" t="s">
        <v>35</v>
      </c>
      <c r="F76" s="254">
        <v>0</v>
      </c>
      <c r="G76" s="254">
        <v>33.882671246851864</v>
      </c>
      <c r="H76" s="254">
        <v>2.9951333275416525</v>
      </c>
      <c r="I76" s="254">
        <v>2.7652894981505636</v>
      </c>
      <c r="J76" s="254">
        <v>5.9262325902802866</v>
      </c>
      <c r="K76" s="254">
        <v>4.2723451426075076</v>
      </c>
      <c r="L76" s="254">
        <v>4.5037626119496794</v>
      </c>
      <c r="M76" s="254">
        <v>4.0873690701581005</v>
      </c>
      <c r="N76" s="254">
        <v>7.7342240138906231</v>
      </c>
      <c r="O76" s="254">
        <v>135780678.87599117</v>
      </c>
      <c r="P76" s="254">
        <v>15.299452639020727</v>
      </c>
      <c r="Q76" s="254">
        <v>1.4161294279829477</v>
      </c>
      <c r="R76" s="254">
        <v>769585189.47657967</v>
      </c>
      <c r="S76" s="254">
        <v>218229981.49886933</v>
      </c>
      <c r="T76" s="254">
        <v>128799160.71689206</v>
      </c>
      <c r="U76" s="254">
        <v>2.6035206419029774E-2</v>
      </c>
      <c r="V76" s="254">
        <v>1359066023.6414058</v>
      </c>
      <c r="W76" s="254">
        <v>24801338.237591643</v>
      </c>
      <c r="X76" s="254">
        <v>1.4770670454812562</v>
      </c>
      <c r="Y76" s="254">
        <v>5.3912998080205856</v>
      </c>
      <c r="Z76" s="254">
        <v>243549049.1968953</v>
      </c>
      <c r="AA76" s="254">
        <v>10369597.516781664</v>
      </c>
      <c r="AB76" s="254">
        <v>13.195550637388967</v>
      </c>
      <c r="AC76" s="254">
        <v>51332824.883993007</v>
      </c>
      <c r="AD76" s="254">
        <v>183070853.7337147</v>
      </c>
      <c r="AE76" s="254">
        <v>9767095.3019717894</v>
      </c>
      <c r="AF76" s="254"/>
      <c r="AG76" s="254"/>
      <c r="AH76" s="254"/>
      <c r="AI76" s="254"/>
      <c r="AJ76" s="262"/>
      <c r="AK76" s="262"/>
      <c r="AL76" s="262"/>
      <c r="AM76" s="262"/>
      <c r="AN76" s="262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62"/>
      <c r="BH76" s="262"/>
      <c r="BI76" s="262"/>
      <c r="BJ76" s="262"/>
      <c r="BK76" s="262"/>
      <c r="BL76" s="262"/>
      <c r="BM76" s="262"/>
      <c r="BN76" s="262"/>
      <c r="BO76" s="208"/>
      <c r="BP76" s="208"/>
      <c r="BQ76" s="208"/>
      <c r="BR76" s="208"/>
      <c r="BS76" s="208"/>
      <c r="BT76" s="208"/>
      <c r="BU76" s="208"/>
      <c r="BV76" s="208"/>
      <c r="BW76" s="208"/>
      <c r="BX76" s="208"/>
      <c r="BY76" s="208"/>
      <c r="BZ76" s="208"/>
      <c r="CA76" s="208"/>
      <c r="CB76" s="208"/>
      <c r="CC76" s="208"/>
      <c r="CD76" s="208"/>
      <c r="CE76" s="208"/>
      <c r="CF76" s="208"/>
      <c r="CG76" s="208"/>
      <c r="CH76" s="208"/>
      <c r="CI76" s="208"/>
      <c r="CJ76" s="208"/>
      <c r="CK76" s="208"/>
      <c r="CL76" s="208"/>
      <c r="CM76" s="208"/>
      <c r="CN76" s="208"/>
      <c r="CO76" s="208"/>
      <c r="CP76" s="208"/>
      <c r="CQ76" s="208"/>
      <c r="CR76" s="208"/>
      <c r="CS76" s="208"/>
    </row>
    <row r="77" spans="1:97" x14ac:dyDescent="0.25">
      <c r="B77" s="220">
        <f>+'Option inputs'!$B$17</f>
        <v>3</v>
      </c>
      <c r="C77" s="263" t="str">
        <f>'Option inputs'!$C$17</f>
        <v>Option 1C</v>
      </c>
      <c r="D77" s="218"/>
      <c r="E77" s="220" t="s">
        <v>35</v>
      </c>
      <c r="F77" s="254">
        <v>0</v>
      </c>
      <c r="G77" s="254">
        <v>9.1157092102529305</v>
      </c>
      <c r="H77" s="254">
        <v>0.7564260328629725</v>
      </c>
      <c r="I77" s="254">
        <v>0.828254331988866</v>
      </c>
      <c r="J77" s="254">
        <v>1.4434843866503151</v>
      </c>
      <c r="K77" s="254">
        <v>1.1495375525644687</v>
      </c>
      <c r="L77" s="254">
        <v>1.1939723601354331</v>
      </c>
      <c r="M77" s="254">
        <v>1.2040394877295455</v>
      </c>
      <c r="N77" s="254">
        <v>2.013768432178181</v>
      </c>
      <c r="O77" s="254">
        <v>161161165.18163738</v>
      </c>
      <c r="P77" s="254">
        <v>4.0983068729404941</v>
      </c>
      <c r="Q77" s="254">
        <v>0.35051016810561147</v>
      </c>
      <c r="R77" s="254">
        <v>756971887.73439336</v>
      </c>
      <c r="S77" s="254">
        <v>230352120.31230569</v>
      </c>
      <c r="T77" s="254">
        <v>152966078.42161664</v>
      </c>
      <c r="U77" s="254">
        <v>0</v>
      </c>
      <c r="V77" s="254">
        <v>1371134042.3810883</v>
      </c>
      <c r="W77" s="254">
        <v>9522079.0589742456</v>
      </c>
      <c r="X77" s="254">
        <v>0.34605637002690798</v>
      </c>
      <c r="Y77" s="254">
        <v>1.4897147398406585</v>
      </c>
      <c r="Z77" s="254">
        <v>240213133.97592229</v>
      </c>
      <c r="AA77" s="254">
        <v>0.82608590109107805</v>
      </c>
      <c r="AB77" s="254">
        <v>4.1787916064857331</v>
      </c>
      <c r="AC77" s="254">
        <v>45487023.366899416</v>
      </c>
      <c r="AD77" s="254">
        <v>189765381.8753182</v>
      </c>
      <c r="AE77" s="254">
        <v>8989898.7965096459</v>
      </c>
      <c r="AF77" s="254"/>
      <c r="AG77" s="254"/>
      <c r="AH77" s="254"/>
      <c r="AI77" s="254"/>
      <c r="AJ77" s="262"/>
      <c r="AK77" s="262"/>
      <c r="AL77" s="262"/>
      <c r="AM77" s="262"/>
      <c r="AN77" s="262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62"/>
      <c r="BH77" s="262"/>
      <c r="BI77" s="262"/>
      <c r="BJ77" s="262"/>
      <c r="BK77" s="262"/>
      <c r="BL77" s="262"/>
      <c r="BM77" s="262"/>
      <c r="BN77" s="262"/>
      <c r="BO77" s="208"/>
      <c r="BP77" s="208"/>
      <c r="BQ77" s="208"/>
      <c r="BR77" s="208"/>
      <c r="BS77" s="208"/>
      <c r="BT77" s="208"/>
      <c r="BU77" s="208"/>
      <c r="BV77" s="208"/>
      <c r="BW77" s="208"/>
      <c r="BX77" s="208"/>
      <c r="BY77" s="208"/>
      <c r="BZ77" s="208"/>
      <c r="CA77" s="208"/>
      <c r="CB77" s="208"/>
      <c r="CC77" s="208"/>
      <c r="CD77" s="208"/>
      <c r="CE77" s="208"/>
      <c r="CF77" s="208"/>
      <c r="CG77" s="208"/>
      <c r="CH77" s="208"/>
      <c r="CI77" s="208"/>
      <c r="CJ77" s="208"/>
      <c r="CK77" s="208"/>
      <c r="CL77" s="208"/>
      <c r="CM77" s="208"/>
      <c r="CN77" s="208"/>
      <c r="CO77" s="208"/>
      <c r="CP77" s="208"/>
      <c r="CQ77" s="208"/>
      <c r="CR77" s="208"/>
      <c r="CS77" s="208"/>
    </row>
    <row r="78" spans="1:97" x14ac:dyDescent="0.25">
      <c r="B78" s="220">
        <f>+'Option inputs'!$B$18</f>
        <v>4</v>
      </c>
      <c r="C78" s="263" t="str">
        <f>'Option inputs'!$C$18</f>
        <v>Option 1D</v>
      </c>
      <c r="D78" s="218"/>
      <c r="E78" s="220" t="s">
        <v>35</v>
      </c>
      <c r="F78" s="254">
        <v>0</v>
      </c>
      <c r="G78" s="254">
        <v>7.6074976390570948</v>
      </c>
      <c r="H78" s="254">
        <v>0.5446622330428027</v>
      </c>
      <c r="I78" s="254">
        <v>0.5733655601192188</v>
      </c>
      <c r="J78" s="254">
        <v>1.1772864441527087</v>
      </c>
      <c r="K78" s="254">
        <v>0.95914421001097083</v>
      </c>
      <c r="L78" s="254">
        <v>0.997831439385236</v>
      </c>
      <c r="M78" s="254">
        <v>1.0119679474404952</v>
      </c>
      <c r="N78" s="254">
        <v>1.6866338359986948</v>
      </c>
      <c r="O78" s="254">
        <v>161164539.63325793</v>
      </c>
      <c r="P78" s="254">
        <v>3.4007602823416132</v>
      </c>
      <c r="Q78" s="254">
        <v>0.27942009869451173</v>
      </c>
      <c r="R78" s="254">
        <v>765230388.43855309</v>
      </c>
      <c r="S78" s="254">
        <v>219025929.04313666</v>
      </c>
      <c r="T78" s="254">
        <v>148346554.88687241</v>
      </c>
      <c r="U78" s="254">
        <v>0</v>
      </c>
      <c r="V78" s="254">
        <v>1377283415.3717029</v>
      </c>
      <c r="W78" s="254">
        <v>9195718.9132669214</v>
      </c>
      <c r="X78" s="254">
        <v>0.28697173565490114</v>
      </c>
      <c r="Y78" s="254">
        <v>1.2564314232948988</v>
      </c>
      <c r="Z78" s="254">
        <v>239280170.42280594</v>
      </c>
      <c r="AA78" s="254">
        <v>0.67386330246590054</v>
      </c>
      <c r="AB78" s="254">
        <v>3.1696715810088447</v>
      </c>
      <c r="AC78" s="254">
        <v>53141189.972311862</v>
      </c>
      <c r="AD78" s="254">
        <v>184675494.12867686</v>
      </c>
      <c r="AE78" s="254">
        <v>9352745.8177038506</v>
      </c>
      <c r="AF78" s="254"/>
      <c r="AG78" s="254"/>
      <c r="AH78" s="254"/>
      <c r="AI78" s="254"/>
      <c r="AJ78" s="262"/>
      <c r="AK78" s="262"/>
      <c r="AL78" s="262"/>
      <c r="AM78" s="262"/>
      <c r="AN78" s="262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62"/>
      <c r="BH78" s="262"/>
      <c r="BI78" s="262"/>
      <c r="BJ78" s="262"/>
      <c r="BK78" s="262"/>
      <c r="BL78" s="262"/>
      <c r="BM78" s="262"/>
      <c r="BN78" s="262"/>
      <c r="BO78" s="208"/>
      <c r="BP78" s="208"/>
      <c r="BQ78" s="208"/>
      <c r="BR78" s="208"/>
      <c r="BS78" s="208"/>
      <c r="BT78" s="208"/>
      <c r="BU78" s="208"/>
      <c r="BV78" s="208"/>
      <c r="BW78" s="208"/>
      <c r="BX78" s="208"/>
      <c r="BY78" s="208"/>
      <c r="BZ78" s="208"/>
      <c r="CA78" s="208"/>
      <c r="CB78" s="208"/>
      <c r="CC78" s="208"/>
      <c r="CD78" s="208"/>
      <c r="CE78" s="208"/>
      <c r="CF78" s="208"/>
      <c r="CG78" s="208"/>
      <c r="CH78" s="208"/>
      <c r="CI78" s="208"/>
      <c r="CJ78" s="208"/>
      <c r="CK78" s="208"/>
      <c r="CL78" s="208"/>
      <c r="CM78" s="208"/>
      <c r="CN78" s="208"/>
      <c r="CO78" s="208"/>
      <c r="CP78" s="208"/>
      <c r="CQ78" s="208"/>
      <c r="CR78" s="208"/>
      <c r="CS78" s="208"/>
    </row>
    <row r="79" spans="1:97" s="208" customFormat="1" x14ac:dyDescent="0.25">
      <c r="A79" s="230"/>
      <c r="B79" s="274"/>
      <c r="C79" s="275"/>
      <c r="D79" s="276"/>
      <c r="E79" s="274"/>
      <c r="F79" s="277"/>
      <c r="G79" s="277"/>
      <c r="H79" s="277"/>
      <c r="I79" s="277"/>
      <c r="J79" s="277"/>
      <c r="K79" s="277"/>
      <c r="L79" s="277"/>
      <c r="M79" s="277"/>
      <c r="N79" s="277"/>
      <c r="O79" s="277"/>
      <c r="P79" s="277"/>
      <c r="Q79" s="277"/>
      <c r="R79" s="277"/>
      <c r="S79" s="277"/>
      <c r="T79" s="277"/>
      <c r="U79" s="277"/>
      <c r="V79" s="277"/>
      <c r="W79" s="277"/>
      <c r="X79" s="277"/>
      <c r="Y79" s="277"/>
      <c r="Z79" s="277"/>
      <c r="AA79" s="277"/>
      <c r="AB79" s="277"/>
      <c r="AC79" s="277"/>
      <c r="AD79" s="277"/>
      <c r="AE79" s="277"/>
      <c r="AF79" s="277"/>
      <c r="AG79" s="277"/>
      <c r="AH79" s="277"/>
      <c r="AI79" s="277"/>
    </row>
    <row r="80" spans="1:97" s="208" customFormat="1" ht="13" x14ac:dyDescent="0.3">
      <c r="A80" s="230"/>
      <c r="B80" s="165" t="s">
        <v>14</v>
      </c>
      <c r="C80" s="216" t="s">
        <v>13</v>
      </c>
      <c r="D80" s="216" t="str">
        <f>$D$50</f>
        <v>Neutral + lower emissions</v>
      </c>
      <c r="E80" s="217" t="s">
        <v>7</v>
      </c>
      <c r="F80" s="260" t="str">
        <f>Calculation!G$32</f>
        <v>FY 2019-20</v>
      </c>
      <c r="G80" s="260" t="str">
        <f>Calculation!H$32</f>
        <v>FY 2020-21</v>
      </c>
      <c r="H80" s="260" t="str">
        <f>Calculation!I$32</f>
        <v>FY 2021-22</v>
      </c>
      <c r="I80" s="260" t="str">
        <f>Calculation!J$32</f>
        <v>FY 2022-23</v>
      </c>
      <c r="J80" s="260" t="str">
        <f>Calculation!K$32</f>
        <v>FY 2023-24</v>
      </c>
      <c r="K80" s="260" t="str">
        <f>Calculation!L$32</f>
        <v>FY 2024-25</v>
      </c>
      <c r="L80" s="260" t="str">
        <f>Calculation!M$32</f>
        <v>FY 2025-26</v>
      </c>
      <c r="M80" s="260" t="str">
        <f>Calculation!N$32</f>
        <v>FY 2026-27</v>
      </c>
      <c r="N80" s="260" t="str">
        <f>Calculation!O$32</f>
        <v>FY 2027-28</v>
      </c>
      <c r="O80" s="260" t="str">
        <f>Calculation!P$32</f>
        <v>FY 2028-29</v>
      </c>
      <c r="P80" s="260" t="str">
        <f>Calculation!Q$32</f>
        <v>FY 2029-30</v>
      </c>
      <c r="Q80" s="260" t="str">
        <f>Calculation!R$32</f>
        <v>FY 2030-31</v>
      </c>
      <c r="R80" s="260" t="str">
        <f>Calculation!S$32</f>
        <v>FY 2031-32</v>
      </c>
      <c r="S80" s="260" t="str">
        <f>Calculation!T$32</f>
        <v>FY 2032-33</v>
      </c>
      <c r="T80" s="260" t="str">
        <f>Calculation!U$32</f>
        <v>FY 2033-34</v>
      </c>
      <c r="U80" s="260" t="str">
        <f>Calculation!V$32</f>
        <v>FY 2034-35</v>
      </c>
      <c r="V80" s="260" t="str">
        <f>Calculation!W$32</f>
        <v>FY 2035-36</v>
      </c>
      <c r="W80" s="260" t="str">
        <f>Calculation!X$32</f>
        <v>FY 2036-37</v>
      </c>
      <c r="X80" s="260" t="str">
        <f>Calculation!Y$32</f>
        <v>FY 2037-38</v>
      </c>
      <c r="Y80" s="260" t="str">
        <f>Calculation!Z$32</f>
        <v>FY 2038-39</v>
      </c>
      <c r="Z80" s="260" t="str">
        <f>Calculation!AA$32</f>
        <v>FY 2039-40</v>
      </c>
      <c r="AA80" s="260" t="str">
        <f>Calculation!AB$32</f>
        <v>FY 2040-41</v>
      </c>
      <c r="AB80" s="260" t="str">
        <f>Calculation!AC$32</f>
        <v>FY 2041-42</v>
      </c>
      <c r="AC80" s="260" t="str">
        <f>Calculation!AD$32</f>
        <v>FY 2042-43</v>
      </c>
      <c r="AD80" s="260" t="str">
        <f>Calculation!AE$32</f>
        <v>FY 2043-44</v>
      </c>
      <c r="AE80" s="260" t="str">
        <f>Calculation!AF$32</f>
        <v>FY 2044-45</v>
      </c>
      <c r="AF80" s="260" t="str">
        <f>Calculation!AG$32</f>
        <v>FY 2045-46</v>
      </c>
      <c r="AG80" s="260" t="str">
        <f>Calculation!AH$32</f>
        <v>FY 2046-47</v>
      </c>
      <c r="AH80" s="260" t="str">
        <f>Calculation!AI$32</f>
        <v>FY 2047-48</v>
      </c>
      <c r="AI80" s="260" t="str">
        <f>Calculation!AJ$32</f>
        <v>FY 2048-49</v>
      </c>
    </row>
    <row r="81" spans="1:66" s="208" customFormat="1" x14ac:dyDescent="0.25">
      <c r="A81" s="230"/>
      <c r="B81" s="220">
        <f>+'Option inputs'!$B$14</f>
        <v>0</v>
      </c>
      <c r="C81" s="261" t="str">
        <f>'Option inputs'!$C$14</f>
        <v>Base case</v>
      </c>
      <c r="D81" s="218"/>
      <c r="E81" s="220" t="s">
        <v>35</v>
      </c>
      <c r="F81" s="254">
        <v>0</v>
      </c>
      <c r="G81" s="254">
        <v>12.479308423399083</v>
      </c>
      <c r="H81" s="254">
        <v>0.7734146322526736</v>
      </c>
      <c r="I81" s="254">
        <v>35671020.932984076</v>
      </c>
      <c r="J81" s="254">
        <v>0.94535105283982523</v>
      </c>
      <c r="K81" s="254">
        <v>213412673.05052054</v>
      </c>
      <c r="L81" s="254">
        <v>59687860.487267993</v>
      </c>
      <c r="M81" s="254">
        <v>0.41566821568253348</v>
      </c>
      <c r="N81" s="254">
        <v>238858105.72399405</v>
      </c>
      <c r="O81" s="254">
        <v>413018843.53931731</v>
      </c>
      <c r="P81" s="254">
        <v>212603854.70347279</v>
      </c>
      <c r="Q81" s="254">
        <v>85122914.606734082</v>
      </c>
      <c r="R81" s="254">
        <v>487876551.30548221</v>
      </c>
      <c r="S81" s="254">
        <v>185750877.14326903</v>
      </c>
      <c r="T81" s="254">
        <v>275488399.20752895</v>
      </c>
      <c r="U81" s="254">
        <v>0.46641880498028487</v>
      </c>
      <c r="V81" s="254">
        <v>884866535.72372282</v>
      </c>
      <c r="W81" s="254">
        <v>62942194.701322854</v>
      </c>
      <c r="X81" s="254">
        <v>119798960.08447179</v>
      </c>
      <c r="Y81" s="254">
        <v>29100853.886656344</v>
      </c>
      <c r="Z81" s="254">
        <v>426477696.5657686</v>
      </c>
      <c r="AA81" s="254">
        <v>523433586.9343282</v>
      </c>
      <c r="AB81" s="254">
        <v>339421828.78934824</v>
      </c>
      <c r="AC81" s="254">
        <v>0</v>
      </c>
      <c r="AD81" s="254">
        <v>690479743.05243921</v>
      </c>
      <c r="AE81" s="254">
        <v>107890574.94494075</v>
      </c>
      <c r="AF81" s="254"/>
      <c r="AG81" s="254"/>
      <c r="AH81" s="254"/>
      <c r="AI81" s="254"/>
      <c r="AJ81" s="262"/>
      <c r="AK81" s="262"/>
      <c r="AL81" s="262"/>
      <c r="AM81" s="262"/>
      <c r="AN81" s="262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62"/>
      <c r="BH81" s="262"/>
      <c r="BI81" s="262"/>
      <c r="BJ81" s="262"/>
      <c r="BK81" s="262"/>
      <c r="BL81" s="262"/>
      <c r="BM81" s="262"/>
      <c r="BN81" s="262"/>
    </row>
    <row r="82" spans="1:66" s="208" customFormat="1" x14ac:dyDescent="0.25">
      <c r="A82" s="230"/>
      <c r="B82" s="220">
        <f>+'Option inputs'!$B$15</f>
        <v>1</v>
      </c>
      <c r="C82" s="263" t="str">
        <f>'Option inputs'!$C$15</f>
        <v>Option 1A</v>
      </c>
      <c r="D82" s="218"/>
      <c r="E82" s="220" t="s">
        <v>35</v>
      </c>
      <c r="F82" s="254">
        <v>0</v>
      </c>
      <c r="G82" s="254">
        <v>12.013871408975968</v>
      </c>
      <c r="H82" s="254">
        <v>0.74301928641071124</v>
      </c>
      <c r="I82" s="254">
        <v>21384264.06749355</v>
      </c>
      <c r="J82" s="254">
        <v>0.96854922895664119</v>
      </c>
      <c r="K82" s="254">
        <v>225672668.81077102</v>
      </c>
      <c r="L82" s="254">
        <v>41012168.177915134</v>
      </c>
      <c r="M82" s="254">
        <v>0.39112652726844666</v>
      </c>
      <c r="N82" s="254">
        <v>209697871.12772176</v>
      </c>
      <c r="O82" s="254">
        <v>417784351.2893551</v>
      </c>
      <c r="P82" s="254">
        <v>217204183.10069314</v>
      </c>
      <c r="Q82" s="254">
        <v>89840956.901174724</v>
      </c>
      <c r="R82" s="254">
        <v>491118621.15788794</v>
      </c>
      <c r="S82" s="254">
        <v>165988421.54464015</v>
      </c>
      <c r="T82" s="254">
        <v>279376722.04495353</v>
      </c>
      <c r="U82" s="254">
        <v>0.47952955200147113</v>
      </c>
      <c r="V82" s="254">
        <v>866052846.68188047</v>
      </c>
      <c r="W82" s="254">
        <v>81072151.457400784</v>
      </c>
      <c r="X82" s="254">
        <v>124944531.79584202</v>
      </c>
      <c r="Y82" s="254">
        <v>40737237.59370213</v>
      </c>
      <c r="Z82" s="254">
        <v>402763825.65867805</v>
      </c>
      <c r="AA82" s="254">
        <v>526521968.41267532</v>
      </c>
      <c r="AB82" s="254">
        <v>332850256.4951393</v>
      </c>
      <c r="AC82" s="254">
        <v>1.9741667415674131E-2</v>
      </c>
      <c r="AD82" s="254">
        <v>686686107.85556293</v>
      </c>
      <c r="AE82" s="254">
        <v>107869483.99140461</v>
      </c>
      <c r="AF82" s="254"/>
      <c r="AG82" s="254"/>
      <c r="AH82" s="254"/>
      <c r="AI82" s="254"/>
      <c r="AJ82" s="262"/>
      <c r="AK82" s="262"/>
      <c r="AL82" s="262"/>
      <c r="AM82" s="262"/>
      <c r="AN82" s="262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62"/>
      <c r="BH82" s="262"/>
      <c r="BI82" s="262"/>
      <c r="BJ82" s="262"/>
      <c r="BK82" s="262"/>
      <c r="BL82" s="262"/>
      <c r="BM82" s="262"/>
      <c r="BN82" s="262"/>
    </row>
    <row r="83" spans="1:66" s="208" customFormat="1" x14ac:dyDescent="0.25">
      <c r="A83" s="230"/>
      <c r="B83" s="220">
        <f>+'Option inputs'!$B$16</f>
        <v>2</v>
      </c>
      <c r="C83" s="263" t="str">
        <f>'Option inputs'!$C$16</f>
        <v>Option 1B</v>
      </c>
      <c r="D83" s="218"/>
      <c r="E83" s="220" t="s">
        <v>35</v>
      </c>
      <c r="F83" s="254">
        <v>0</v>
      </c>
      <c r="G83" s="254">
        <v>26.178302870906805</v>
      </c>
      <c r="H83" s="254">
        <v>1.8151365988740109</v>
      </c>
      <c r="I83" s="254">
        <v>7027215.1945065148</v>
      </c>
      <c r="J83" s="254">
        <v>71024.739642533357</v>
      </c>
      <c r="K83" s="254">
        <v>231973744.87365866</v>
      </c>
      <c r="L83" s="254">
        <v>35905473.873845331</v>
      </c>
      <c r="M83" s="254">
        <v>0.88041334807078953</v>
      </c>
      <c r="N83" s="254">
        <v>212185461.11771491</v>
      </c>
      <c r="O83" s="254">
        <v>393745917.89352864</v>
      </c>
      <c r="P83" s="254">
        <v>259164468.30199435</v>
      </c>
      <c r="Q83" s="254">
        <v>83439558.370933071</v>
      </c>
      <c r="R83" s="254">
        <v>489645249.93508726</v>
      </c>
      <c r="S83" s="254">
        <v>179975092.56571114</v>
      </c>
      <c r="T83" s="254">
        <v>274008705.89890724</v>
      </c>
      <c r="U83" s="254">
        <v>0.91266176790075704</v>
      </c>
      <c r="V83" s="254">
        <v>891508077.31131577</v>
      </c>
      <c r="W83" s="254">
        <v>63544939.545257047</v>
      </c>
      <c r="X83" s="254">
        <v>120913097.07783209</v>
      </c>
      <c r="Y83" s="254">
        <v>33397379.905498363</v>
      </c>
      <c r="Z83" s="254">
        <v>417528026.39948177</v>
      </c>
      <c r="AA83" s="254">
        <v>522425944.69501537</v>
      </c>
      <c r="AB83" s="254">
        <v>325136335.63255602</v>
      </c>
      <c r="AC83" s="254">
        <v>1.4384543949033692E-2</v>
      </c>
      <c r="AD83" s="254">
        <v>689711605.00848711</v>
      </c>
      <c r="AE83" s="254">
        <v>110891789.86934671</v>
      </c>
      <c r="AF83" s="254"/>
      <c r="AG83" s="254"/>
      <c r="AH83" s="254"/>
      <c r="AI83" s="254"/>
      <c r="AJ83" s="262"/>
      <c r="AK83" s="262"/>
      <c r="AL83" s="262"/>
      <c r="AM83" s="262"/>
      <c r="AN83" s="262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62"/>
      <c r="BH83" s="262"/>
      <c r="BI83" s="262"/>
      <c r="BJ83" s="262"/>
      <c r="BK83" s="262"/>
      <c r="BL83" s="262"/>
      <c r="BM83" s="262"/>
      <c r="BN83" s="262"/>
    </row>
    <row r="84" spans="1:66" s="208" customFormat="1" x14ac:dyDescent="0.25">
      <c r="A84" s="230"/>
      <c r="B84" s="220">
        <f>+'Option inputs'!$B$17</f>
        <v>3</v>
      </c>
      <c r="C84" s="263" t="str">
        <f>'Option inputs'!$C$17</f>
        <v>Option 1C</v>
      </c>
      <c r="D84" s="218"/>
      <c r="E84" s="220" t="s">
        <v>35</v>
      </c>
      <c r="F84" s="254">
        <v>0</v>
      </c>
      <c r="G84" s="254">
        <v>9.6280304032429314</v>
      </c>
      <c r="H84" s="254">
        <v>0.59220246434030488</v>
      </c>
      <c r="I84" s="254">
        <v>63645805.410004504</v>
      </c>
      <c r="J84" s="254">
        <v>0.84421406644645414</v>
      </c>
      <c r="K84" s="254">
        <v>205671605.93400651</v>
      </c>
      <c r="L84" s="254">
        <v>58474368.097707152</v>
      </c>
      <c r="M84" s="254">
        <v>0.31010554022214709</v>
      </c>
      <c r="N84" s="254">
        <v>225245840.13309211</v>
      </c>
      <c r="O84" s="254">
        <v>417562275.23045939</v>
      </c>
      <c r="P84" s="254">
        <v>223803657.85023037</v>
      </c>
      <c r="Q84" s="254">
        <v>83126830.992780551</v>
      </c>
      <c r="R84" s="254">
        <v>490633800.37680137</v>
      </c>
      <c r="S84" s="254">
        <v>177171957.91090828</v>
      </c>
      <c r="T84" s="254">
        <v>279006077.10095704</v>
      </c>
      <c r="U84" s="254">
        <v>0.40640408594530569</v>
      </c>
      <c r="V84" s="254">
        <v>867138723.92409205</v>
      </c>
      <c r="W84" s="254">
        <v>70621031.29823041</v>
      </c>
      <c r="X84" s="254">
        <v>123100590.25652818</v>
      </c>
      <c r="Y84" s="254">
        <v>25507753.956226304</v>
      </c>
      <c r="Z84" s="254">
        <v>420986688.61241555</v>
      </c>
      <c r="AA84" s="254">
        <v>522735316.51254815</v>
      </c>
      <c r="AB84" s="254">
        <v>346348289.84678435</v>
      </c>
      <c r="AC84" s="254">
        <v>0</v>
      </c>
      <c r="AD84" s="254">
        <v>687112223.14189446</v>
      </c>
      <c r="AE84" s="254">
        <v>107702485.54687062</v>
      </c>
      <c r="AF84" s="254"/>
      <c r="AG84" s="254"/>
      <c r="AH84" s="254"/>
      <c r="AI84" s="254"/>
      <c r="AJ84" s="262"/>
      <c r="AK84" s="262"/>
      <c r="AL84" s="262"/>
      <c r="AM84" s="262"/>
      <c r="AN84" s="262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62"/>
      <c r="BH84" s="262"/>
      <c r="BI84" s="262"/>
      <c r="BJ84" s="262"/>
      <c r="BK84" s="262"/>
      <c r="BL84" s="262"/>
      <c r="BM84" s="262"/>
      <c r="BN84" s="262"/>
    </row>
    <row r="85" spans="1:66" s="208" customFormat="1" x14ac:dyDescent="0.25">
      <c r="A85" s="230"/>
      <c r="B85" s="220">
        <f>+'Option inputs'!$B$18</f>
        <v>4</v>
      </c>
      <c r="C85" s="263" t="str">
        <f>'Option inputs'!$C$18</f>
        <v>Option 1D</v>
      </c>
      <c r="D85" s="218"/>
      <c r="E85" s="220" t="s">
        <v>35</v>
      </c>
      <c r="F85" s="254">
        <v>0</v>
      </c>
      <c r="G85" s="254">
        <v>27.052838500196799</v>
      </c>
      <c r="H85" s="254">
        <v>1.8858785053143448</v>
      </c>
      <c r="I85" s="254">
        <v>58119245.225616127</v>
      </c>
      <c r="J85" s="254">
        <v>1286660.4367529636</v>
      </c>
      <c r="K85" s="254">
        <v>200707881.46635574</v>
      </c>
      <c r="L85" s="254">
        <v>60398814.584750779</v>
      </c>
      <c r="M85" s="254">
        <v>0.98644776472922802</v>
      </c>
      <c r="N85" s="254">
        <v>230198079.04816476</v>
      </c>
      <c r="O85" s="254">
        <v>415446813.87496293</v>
      </c>
      <c r="P85" s="254">
        <v>220455672.60820919</v>
      </c>
      <c r="Q85" s="254">
        <v>84633263.554737419</v>
      </c>
      <c r="R85" s="254">
        <v>488345074.96656883</v>
      </c>
      <c r="S85" s="254">
        <v>178280945.34797084</v>
      </c>
      <c r="T85" s="254">
        <v>275006961.34176975</v>
      </c>
      <c r="U85" s="254">
        <v>1.0481065738777748</v>
      </c>
      <c r="V85" s="254">
        <v>875683689.10796928</v>
      </c>
      <c r="W85" s="254">
        <v>68656180.633558065</v>
      </c>
      <c r="X85" s="254">
        <v>123565885.92498924</v>
      </c>
      <c r="Y85" s="254">
        <v>24476498.058219243</v>
      </c>
      <c r="Z85" s="254">
        <v>428608855.04667854</v>
      </c>
      <c r="AA85" s="254">
        <v>520603713.25178218</v>
      </c>
      <c r="AB85" s="254">
        <v>342783071.83834958</v>
      </c>
      <c r="AC85" s="254">
        <v>5.414106163192843E-2</v>
      </c>
      <c r="AD85" s="254">
        <v>688967713.21321726</v>
      </c>
      <c r="AE85" s="254">
        <v>106967456.89392838</v>
      </c>
      <c r="AF85" s="254"/>
      <c r="AG85" s="254"/>
      <c r="AH85" s="254"/>
      <c r="AI85" s="254"/>
      <c r="AJ85" s="262"/>
      <c r="AK85" s="262"/>
      <c r="AL85" s="262"/>
      <c r="AM85" s="262"/>
      <c r="AN85" s="262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62"/>
      <c r="BH85" s="262"/>
      <c r="BI85" s="262"/>
      <c r="BJ85" s="262"/>
      <c r="BK85" s="262"/>
      <c r="BL85" s="262"/>
      <c r="BM85" s="262"/>
      <c r="BN85" s="262"/>
    </row>
    <row r="86" spans="1:66" s="208" customFormat="1" x14ac:dyDescent="0.25">
      <c r="A86" s="230"/>
      <c r="B86" s="274"/>
      <c r="C86" s="275"/>
      <c r="D86" s="276"/>
      <c r="E86" s="274"/>
      <c r="F86" s="277"/>
      <c r="G86" s="277"/>
      <c r="H86" s="277"/>
      <c r="I86" s="277"/>
      <c r="J86" s="277"/>
      <c r="K86" s="277"/>
      <c r="L86" s="277"/>
      <c r="M86" s="277"/>
      <c r="N86" s="277"/>
      <c r="O86" s="277"/>
      <c r="P86" s="277"/>
      <c r="Q86" s="277"/>
      <c r="R86" s="277"/>
      <c r="S86" s="277"/>
      <c r="T86" s="277"/>
      <c r="U86" s="277"/>
      <c r="V86" s="277"/>
      <c r="W86" s="277"/>
      <c r="X86" s="277"/>
      <c r="Y86" s="277"/>
      <c r="Z86" s="277"/>
      <c r="AA86" s="277"/>
      <c r="AB86" s="277"/>
      <c r="AC86" s="277"/>
      <c r="AD86" s="277"/>
      <c r="AE86" s="277"/>
      <c r="AF86" s="277"/>
      <c r="AG86" s="277"/>
      <c r="AH86" s="277"/>
      <c r="AI86" s="277"/>
    </row>
    <row r="87" spans="1:66" s="208" customFormat="1" ht="13" x14ac:dyDescent="0.3">
      <c r="A87" s="230"/>
      <c r="B87" s="165" t="s">
        <v>14</v>
      </c>
      <c r="C87" s="216" t="s">
        <v>13</v>
      </c>
      <c r="D87" s="165" t="str">
        <f>D57</f>
        <v>Slow change</v>
      </c>
      <c r="E87" s="217" t="s">
        <v>7</v>
      </c>
      <c r="F87" s="260" t="str">
        <f>Calculation!G$32</f>
        <v>FY 2019-20</v>
      </c>
      <c r="G87" s="260" t="str">
        <f>Calculation!H$32</f>
        <v>FY 2020-21</v>
      </c>
      <c r="H87" s="260" t="str">
        <f>Calculation!I$32</f>
        <v>FY 2021-22</v>
      </c>
      <c r="I87" s="260" t="str">
        <f>Calculation!J$32</f>
        <v>FY 2022-23</v>
      </c>
      <c r="J87" s="260" t="str">
        <f>Calculation!K$32</f>
        <v>FY 2023-24</v>
      </c>
      <c r="K87" s="260" t="str">
        <f>Calculation!L$32</f>
        <v>FY 2024-25</v>
      </c>
      <c r="L87" s="260" t="str">
        <f>Calculation!M$32</f>
        <v>FY 2025-26</v>
      </c>
      <c r="M87" s="260" t="str">
        <f>Calculation!N$32</f>
        <v>FY 2026-27</v>
      </c>
      <c r="N87" s="260" t="str">
        <f>Calculation!O$32</f>
        <v>FY 2027-28</v>
      </c>
      <c r="O87" s="260" t="str">
        <f>Calculation!P$32</f>
        <v>FY 2028-29</v>
      </c>
      <c r="P87" s="260" t="str">
        <f>Calculation!Q$32</f>
        <v>FY 2029-30</v>
      </c>
      <c r="Q87" s="260" t="str">
        <f>Calculation!R$32</f>
        <v>FY 2030-31</v>
      </c>
      <c r="R87" s="260" t="str">
        <f>Calculation!S$32</f>
        <v>FY 2031-32</v>
      </c>
      <c r="S87" s="260" t="str">
        <f>Calculation!T$32</f>
        <v>FY 2032-33</v>
      </c>
      <c r="T87" s="260" t="str">
        <f>Calculation!U$32</f>
        <v>FY 2033-34</v>
      </c>
      <c r="U87" s="260" t="str">
        <f>Calculation!V$32</f>
        <v>FY 2034-35</v>
      </c>
      <c r="V87" s="260" t="str">
        <f>Calculation!W$32</f>
        <v>FY 2035-36</v>
      </c>
      <c r="W87" s="260" t="str">
        <f>Calculation!X$32</f>
        <v>FY 2036-37</v>
      </c>
      <c r="X87" s="260" t="str">
        <f>Calculation!Y$32</f>
        <v>FY 2037-38</v>
      </c>
      <c r="Y87" s="260" t="str">
        <f>Calculation!Z$32</f>
        <v>FY 2038-39</v>
      </c>
      <c r="Z87" s="260" t="str">
        <f>Calculation!AA$32</f>
        <v>FY 2039-40</v>
      </c>
      <c r="AA87" s="260" t="str">
        <f>Calculation!AB$32</f>
        <v>FY 2040-41</v>
      </c>
      <c r="AB87" s="260" t="str">
        <f>Calculation!AC$32</f>
        <v>FY 2041-42</v>
      </c>
      <c r="AC87" s="260" t="str">
        <f>Calculation!AD$32</f>
        <v>FY 2042-43</v>
      </c>
      <c r="AD87" s="260" t="str">
        <f>Calculation!AE$32</f>
        <v>FY 2043-44</v>
      </c>
      <c r="AE87" s="260" t="str">
        <f>Calculation!AF$32</f>
        <v>FY 2044-45</v>
      </c>
      <c r="AF87" s="260" t="str">
        <f>Calculation!AG$32</f>
        <v>FY 2045-46</v>
      </c>
      <c r="AG87" s="260" t="str">
        <f>Calculation!AH$32</f>
        <v>FY 2046-47</v>
      </c>
      <c r="AH87" s="260" t="str">
        <f>Calculation!AI$32</f>
        <v>FY 2047-48</v>
      </c>
      <c r="AI87" s="260" t="str">
        <f>Calculation!AJ$32</f>
        <v>FY 2048-49</v>
      </c>
    </row>
    <row r="88" spans="1:66" s="208" customFormat="1" x14ac:dyDescent="0.25">
      <c r="A88" s="230"/>
      <c r="B88" s="220">
        <f>+'Option inputs'!$B$14</f>
        <v>0</v>
      </c>
      <c r="C88" s="261" t="str">
        <f>'Option inputs'!$C$14</f>
        <v>Base case</v>
      </c>
      <c r="D88" s="218"/>
      <c r="E88" s="220" t="s">
        <v>35</v>
      </c>
      <c r="F88" s="254">
        <v>0</v>
      </c>
      <c r="G88" s="254">
        <v>54.324826480426459</v>
      </c>
      <c r="H88" s="254">
        <v>1.7481779049659001</v>
      </c>
      <c r="I88" s="254">
        <v>6.3130661328719251</v>
      </c>
      <c r="J88" s="254">
        <v>1.9516991307177236</v>
      </c>
      <c r="K88" s="254">
        <v>2.5437491426821253</v>
      </c>
      <c r="L88" s="254">
        <v>3.752546755283801</v>
      </c>
      <c r="M88" s="254">
        <v>3.4987895013514296</v>
      </c>
      <c r="N88" s="254">
        <v>2.5922700408404817</v>
      </c>
      <c r="O88" s="254">
        <v>15.73914026969535</v>
      </c>
      <c r="P88" s="254">
        <v>21.646793279175036</v>
      </c>
      <c r="Q88" s="254">
        <v>1.2848196561629632</v>
      </c>
      <c r="R88" s="254">
        <v>0.74281716936877917</v>
      </c>
      <c r="S88" s="254">
        <v>7.2486738216308639</v>
      </c>
      <c r="T88" s="254">
        <v>7.8020278672429724</v>
      </c>
      <c r="U88" s="254">
        <v>1.2150933603858394</v>
      </c>
      <c r="V88" s="254">
        <v>196684740.18047726</v>
      </c>
      <c r="W88" s="254">
        <v>248836278.76571533</v>
      </c>
      <c r="X88" s="254">
        <v>16604736.435299108</v>
      </c>
      <c r="Y88" s="254">
        <v>9492467.6560138352</v>
      </c>
      <c r="Z88" s="254">
        <v>134608835.81847191</v>
      </c>
      <c r="AA88" s="254">
        <v>77436870.733583301</v>
      </c>
      <c r="AB88" s="254">
        <v>62243550.053237043</v>
      </c>
      <c r="AC88" s="254">
        <v>2.6529038676738277</v>
      </c>
      <c r="AD88" s="254">
        <v>71075616.102297306</v>
      </c>
      <c r="AE88" s="254">
        <v>267043.38987326704</v>
      </c>
      <c r="AF88" s="254"/>
      <c r="AG88" s="254"/>
      <c r="AH88" s="254"/>
      <c r="AI88" s="254"/>
      <c r="AJ88" s="262"/>
      <c r="AK88" s="262"/>
      <c r="AL88" s="262"/>
      <c r="AM88" s="262"/>
      <c r="AN88" s="262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62"/>
      <c r="BH88" s="262"/>
      <c r="BI88" s="262"/>
      <c r="BJ88" s="262"/>
      <c r="BK88" s="262"/>
      <c r="BL88" s="262"/>
      <c r="BM88" s="262"/>
      <c r="BN88" s="262"/>
    </row>
    <row r="89" spans="1:66" s="208" customFormat="1" x14ac:dyDescent="0.25">
      <c r="A89" s="230"/>
      <c r="B89" s="220">
        <f>+'Option inputs'!$B$15</f>
        <v>1</v>
      </c>
      <c r="C89" s="263" t="str">
        <f>'Option inputs'!$C$15</f>
        <v>Option 1A</v>
      </c>
      <c r="D89" s="218"/>
      <c r="E89" s="220" t="s">
        <v>35</v>
      </c>
      <c r="F89" s="254">
        <v>0</v>
      </c>
      <c r="G89" s="254">
        <v>2.8775852830882269</v>
      </c>
      <c r="H89" s="254">
        <v>0</v>
      </c>
      <c r="I89" s="254">
        <v>0.25712216792611309</v>
      </c>
      <c r="J89" s="254">
        <v>0</v>
      </c>
      <c r="K89" s="254">
        <v>0</v>
      </c>
      <c r="L89" s="254">
        <v>4.2826033946469777E-2</v>
      </c>
      <c r="M89" s="254">
        <v>2.4579314646077096E-2</v>
      </c>
      <c r="N89" s="254">
        <v>0</v>
      </c>
      <c r="O89" s="254">
        <v>0.7497089462296016</v>
      </c>
      <c r="P89" s="254">
        <v>1.0903957352066513</v>
      </c>
      <c r="Q89" s="254">
        <v>0</v>
      </c>
      <c r="R89" s="254">
        <v>0</v>
      </c>
      <c r="S89" s="254">
        <v>0.35270816233692753</v>
      </c>
      <c r="T89" s="254">
        <v>0.38842705264659089</v>
      </c>
      <c r="U89" s="254">
        <v>5.9091987306559117E-2</v>
      </c>
      <c r="V89" s="254">
        <v>155969253.68332779</v>
      </c>
      <c r="W89" s="254">
        <v>252012636.05353937</v>
      </c>
      <c r="X89" s="254">
        <v>27058657.873202041</v>
      </c>
      <c r="Y89" s="254">
        <v>4268196.1504179128</v>
      </c>
      <c r="Z89" s="254">
        <v>139094165.66690266</v>
      </c>
      <c r="AA89" s="254">
        <v>82256467.103656888</v>
      </c>
      <c r="AB89" s="254">
        <v>64382724.717770681</v>
      </c>
      <c r="AC89" s="254">
        <v>0.12687480575580024</v>
      </c>
      <c r="AD89" s="254">
        <v>73548558.562248319</v>
      </c>
      <c r="AE89" s="254">
        <v>1146338.3156100078</v>
      </c>
      <c r="AF89" s="254"/>
      <c r="AG89" s="254"/>
      <c r="AH89" s="254"/>
      <c r="AI89" s="254"/>
      <c r="AJ89" s="262"/>
      <c r="AK89" s="262"/>
      <c r="AL89" s="262"/>
      <c r="AM89" s="262"/>
      <c r="AN89" s="262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62"/>
      <c r="BH89" s="262"/>
      <c r="BI89" s="262"/>
      <c r="BJ89" s="262"/>
      <c r="BK89" s="262"/>
      <c r="BL89" s="262"/>
      <c r="BM89" s="262"/>
      <c r="BN89" s="262"/>
    </row>
    <row r="90" spans="1:66" s="208" customFormat="1" x14ac:dyDescent="0.25">
      <c r="A90" s="230"/>
      <c r="B90" s="220">
        <f>+'Option inputs'!$B$16</f>
        <v>2</v>
      </c>
      <c r="C90" s="263" t="str">
        <f>'Option inputs'!$C$16</f>
        <v>Option 1B</v>
      </c>
      <c r="D90" s="218"/>
      <c r="E90" s="220" t="s">
        <v>35</v>
      </c>
      <c r="F90" s="254">
        <v>0</v>
      </c>
      <c r="G90" s="254">
        <v>2.9549203794691676</v>
      </c>
      <c r="H90" s="254">
        <v>0</v>
      </c>
      <c r="I90" s="254">
        <v>0.26477335365430071</v>
      </c>
      <c r="J90" s="254">
        <v>0</v>
      </c>
      <c r="K90" s="254">
        <v>0</v>
      </c>
      <c r="L90" s="254">
        <v>4.4019709404682507E-2</v>
      </c>
      <c r="M90" s="254">
        <v>2.5419750154318285E-2</v>
      </c>
      <c r="N90" s="254">
        <v>0</v>
      </c>
      <c r="O90" s="254">
        <v>0.78775970614105939</v>
      </c>
      <c r="P90" s="254">
        <v>1.1378426290567794</v>
      </c>
      <c r="Q90" s="254">
        <v>0</v>
      </c>
      <c r="R90" s="254">
        <v>0</v>
      </c>
      <c r="S90" s="254">
        <v>0.36608168041708167</v>
      </c>
      <c r="T90" s="254">
        <v>0.43530318657544936</v>
      </c>
      <c r="U90" s="254">
        <v>3.4800937257137697E-2</v>
      </c>
      <c r="V90" s="254">
        <v>162888722.38006359</v>
      </c>
      <c r="W90" s="254">
        <v>249211512.25378469</v>
      </c>
      <c r="X90" s="254">
        <v>35437258.99090977</v>
      </c>
      <c r="Y90" s="254">
        <v>10180895.086890798</v>
      </c>
      <c r="Z90" s="254">
        <v>133407154.38935225</v>
      </c>
      <c r="AA90" s="254">
        <v>77552947.618721798</v>
      </c>
      <c r="AB90" s="254">
        <v>75815210.108369097</v>
      </c>
      <c r="AC90" s="254">
        <v>0.13133832901255477</v>
      </c>
      <c r="AD90" s="254">
        <v>71054512.229469001</v>
      </c>
      <c r="AE90" s="254">
        <v>1058157.8428527666</v>
      </c>
      <c r="AF90" s="254"/>
      <c r="AG90" s="254"/>
      <c r="AH90" s="254"/>
      <c r="AI90" s="254"/>
      <c r="AJ90" s="262"/>
      <c r="AK90" s="262"/>
      <c r="AL90" s="262"/>
      <c r="AM90" s="262"/>
      <c r="AN90" s="262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62"/>
      <c r="BH90" s="262"/>
      <c r="BI90" s="262"/>
      <c r="BJ90" s="262"/>
      <c r="BK90" s="262"/>
      <c r="BL90" s="262"/>
      <c r="BM90" s="262"/>
      <c r="BN90" s="262"/>
    </row>
    <row r="91" spans="1:66" s="208" customFormat="1" x14ac:dyDescent="0.25">
      <c r="A91" s="230"/>
      <c r="B91" s="220">
        <f>+'Option inputs'!$B$17</f>
        <v>3</v>
      </c>
      <c r="C91" s="263" t="str">
        <f>'Option inputs'!$C$17</f>
        <v>Option 1C</v>
      </c>
      <c r="D91" s="218"/>
      <c r="E91" s="220" t="s">
        <v>35</v>
      </c>
      <c r="F91" s="254">
        <v>0</v>
      </c>
      <c r="G91" s="254">
        <v>4.7890038578288996</v>
      </c>
      <c r="H91" s="254">
        <v>0</v>
      </c>
      <c r="I91" s="254">
        <v>0.44126197341885937</v>
      </c>
      <c r="J91" s="254">
        <v>0</v>
      </c>
      <c r="K91" s="254">
        <v>6.7797326360810678E-2</v>
      </c>
      <c r="L91" s="254">
        <v>0.33128851176090296</v>
      </c>
      <c r="M91" s="254">
        <v>0.12349113273237818</v>
      </c>
      <c r="N91" s="254">
        <v>3.155205398733283E-2</v>
      </c>
      <c r="O91" s="254">
        <v>1.345857689366339</v>
      </c>
      <c r="P91" s="254">
        <v>1.8147212823271239</v>
      </c>
      <c r="Q91" s="254">
        <v>0.11014804955996527</v>
      </c>
      <c r="R91" s="254">
        <v>0</v>
      </c>
      <c r="S91" s="254">
        <v>0.60987914163511636</v>
      </c>
      <c r="T91" s="254">
        <v>0.63754647701080358</v>
      </c>
      <c r="U91" s="254">
        <v>9.5870045408978963E-2</v>
      </c>
      <c r="V91" s="254">
        <v>197511147.32313547</v>
      </c>
      <c r="W91" s="254">
        <v>250107295.9490034</v>
      </c>
      <c r="X91" s="254">
        <v>15540961.323114753</v>
      </c>
      <c r="Y91" s="254">
        <v>5382006.475829226</v>
      </c>
      <c r="Z91" s="254">
        <v>139171547.31122118</v>
      </c>
      <c r="AA91" s="254">
        <v>79225812.705855623</v>
      </c>
      <c r="AB91" s="254">
        <v>55864996.808585778</v>
      </c>
      <c r="AC91" s="254">
        <v>0.21352340862883584</v>
      </c>
      <c r="AD91" s="254">
        <v>70703913.307506487</v>
      </c>
      <c r="AE91" s="254">
        <v>522128.29003143788</v>
      </c>
      <c r="AF91" s="254"/>
      <c r="AG91" s="254"/>
      <c r="AH91" s="254"/>
      <c r="AI91" s="254"/>
      <c r="AJ91" s="262"/>
      <c r="AK91" s="262"/>
      <c r="AL91" s="262"/>
      <c r="AM91" s="262"/>
      <c r="AN91" s="262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62"/>
      <c r="BH91" s="262"/>
      <c r="BI91" s="262"/>
      <c r="BJ91" s="262"/>
      <c r="BK91" s="262"/>
      <c r="BL91" s="262"/>
      <c r="BM91" s="262"/>
      <c r="BN91" s="262"/>
    </row>
    <row r="92" spans="1:66" s="208" customFormat="1" x14ac:dyDescent="0.25">
      <c r="A92" s="230"/>
      <c r="B92" s="220">
        <f>+'Option inputs'!$B$18</f>
        <v>4</v>
      </c>
      <c r="C92" s="263" t="str">
        <f>'Option inputs'!$C$18</f>
        <v>Option 1D</v>
      </c>
      <c r="D92" s="218"/>
      <c r="E92" s="220" t="s">
        <v>35</v>
      </c>
      <c r="F92" s="254">
        <v>0</v>
      </c>
      <c r="G92" s="254">
        <v>2.8608773747568037</v>
      </c>
      <c r="H92" s="254">
        <v>0</v>
      </c>
      <c r="I92" s="254">
        <v>0.26419400285785938</v>
      </c>
      <c r="J92" s="254">
        <v>0</v>
      </c>
      <c r="K92" s="254">
        <v>0</v>
      </c>
      <c r="L92" s="254">
        <v>4.3082835501698349E-2</v>
      </c>
      <c r="M92" s="254">
        <v>2.4255618518431176E-2</v>
      </c>
      <c r="N92" s="254">
        <v>0</v>
      </c>
      <c r="O92" s="254">
        <v>0.76263854570022804</v>
      </c>
      <c r="P92" s="254">
        <v>1.0897147185945195</v>
      </c>
      <c r="Q92" s="254">
        <v>0</v>
      </c>
      <c r="R92" s="254">
        <v>0</v>
      </c>
      <c r="S92" s="254">
        <v>0.35453841927274732</v>
      </c>
      <c r="T92" s="254">
        <v>0.40443653018351422</v>
      </c>
      <c r="U92" s="254">
        <v>3.428008055558103E-2</v>
      </c>
      <c r="V92" s="254">
        <v>194319346.36058378</v>
      </c>
      <c r="W92" s="254">
        <v>251163215.59894049</v>
      </c>
      <c r="X92" s="254">
        <v>15676431.27324946</v>
      </c>
      <c r="Y92" s="254">
        <v>7112842.0314394869</v>
      </c>
      <c r="Z92" s="254">
        <v>138817635.02695766</v>
      </c>
      <c r="AA92" s="254">
        <v>79321393.771028772</v>
      </c>
      <c r="AB92" s="254">
        <v>57926977.090955533</v>
      </c>
      <c r="AC92" s="254">
        <v>0.12725883539458291</v>
      </c>
      <c r="AD92" s="254">
        <v>70165768.289844885</v>
      </c>
      <c r="AE92" s="254">
        <v>645936.93779875</v>
      </c>
      <c r="AF92" s="254"/>
      <c r="AG92" s="254"/>
      <c r="AH92" s="254"/>
      <c r="AI92" s="254"/>
      <c r="AJ92" s="262"/>
      <c r="AK92" s="262"/>
      <c r="AL92" s="262"/>
      <c r="AM92" s="262"/>
      <c r="AN92" s="262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62"/>
      <c r="BH92" s="262"/>
      <c r="BI92" s="262"/>
      <c r="BJ92" s="262"/>
      <c r="BK92" s="262"/>
      <c r="BL92" s="262"/>
      <c r="BM92" s="262"/>
      <c r="BN92" s="262"/>
    </row>
    <row r="93" spans="1:66" s="208" customFormat="1" x14ac:dyDescent="0.25">
      <c r="A93" s="230"/>
      <c r="B93" s="274"/>
      <c r="C93" s="275"/>
      <c r="D93" s="276"/>
      <c r="E93" s="274"/>
      <c r="F93" s="277"/>
      <c r="G93" s="277"/>
      <c r="H93" s="277"/>
      <c r="I93" s="277"/>
      <c r="J93" s="277"/>
      <c r="K93" s="277"/>
      <c r="L93" s="277"/>
      <c r="M93" s="277"/>
      <c r="N93" s="277"/>
      <c r="O93" s="277"/>
      <c r="P93" s="277"/>
      <c r="Q93" s="277"/>
      <c r="R93" s="277"/>
      <c r="S93" s="277"/>
      <c r="T93" s="277"/>
      <c r="U93" s="277"/>
      <c r="V93" s="277"/>
      <c r="W93" s="277"/>
      <c r="X93" s="277"/>
      <c r="Y93" s="277"/>
      <c r="Z93" s="277"/>
      <c r="AA93" s="277"/>
      <c r="AB93" s="277"/>
      <c r="AC93" s="277"/>
      <c r="AD93" s="277"/>
      <c r="AE93" s="277"/>
      <c r="AF93" s="277"/>
      <c r="AG93" s="277"/>
      <c r="AH93" s="277"/>
      <c r="AI93" s="277"/>
    </row>
    <row r="94" spans="1:66" s="208" customFormat="1" ht="13" x14ac:dyDescent="0.3">
      <c r="A94" s="230"/>
      <c r="B94" s="165" t="s">
        <v>14</v>
      </c>
      <c r="C94" s="216" t="s">
        <v>13</v>
      </c>
      <c r="D94" s="165" t="str">
        <f>D64</f>
        <v>Fast change</v>
      </c>
      <c r="E94" s="217" t="s">
        <v>7</v>
      </c>
      <c r="F94" s="260" t="str">
        <f>Calculation!G$32</f>
        <v>FY 2019-20</v>
      </c>
      <c r="G94" s="260" t="str">
        <f>Calculation!H$32</f>
        <v>FY 2020-21</v>
      </c>
      <c r="H94" s="260" t="str">
        <f>Calculation!I$32</f>
        <v>FY 2021-22</v>
      </c>
      <c r="I94" s="260" t="str">
        <f>Calculation!J$32</f>
        <v>FY 2022-23</v>
      </c>
      <c r="J94" s="260" t="str">
        <f>Calculation!K$32</f>
        <v>FY 2023-24</v>
      </c>
      <c r="K94" s="260" t="str">
        <f>Calculation!L$32</f>
        <v>FY 2024-25</v>
      </c>
      <c r="L94" s="260" t="str">
        <f>Calculation!M$32</f>
        <v>FY 2025-26</v>
      </c>
      <c r="M94" s="260" t="str">
        <f>Calculation!N$32</f>
        <v>FY 2026-27</v>
      </c>
      <c r="N94" s="260" t="str">
        <f>Calculation!O$32</f>
        <v>FY 2027-28</v>
      </c>
      <c r="O94" s="260" t="str">
        <f>Calculation!P$32</f>
        <v>FY 2028-29</v>
      </c>
      <c r="P94" s="260" t="str">
        <f>Calculation!Q$32</f>
        <v>FY 2029-30</v>
      </c>
      <c r="Q94" s="260" t="str">
        <f>Calculation!R$32</f>
        <v>FY 2030-31</v>
      </c>
      <c r="R94" s="260" t="str">
        <f>Calculation!S$32</f>
        <v>FY 2031-32</v>
      </c>
      <c r="S94" s="260" t="str">
        <f>Calculation!T$32</f>
        <v>FY 2032-33</v>
      </c>
      <c r="T94" s="260" t="str">
        <f>Calculation!U$32</f>
        <v>FY 2033-34</v>
      </c>
      <c r="U94" s="260" t="str">
        <f>Calculation!V$32</f>
        <v>FY 2034-35</v>
      </c>
      <c r="V94" s="260" t="str">
        <f>Calculation!W$32</f>
        <v>FY 2035-36</v>
      </c>
      <c r="W94" s="260" t="str">
        <f>Calculation!X$32</f>
        <v>FY 2036-37</v>
      </c>
      <c r="X94" s="260" t="str">
        <f>Calculation!Y$32</f>
        <v>FY 2037-38</v>
      </c>
      <c r="Y94" s="260" t="str">
        <f>Calculation!Z$32</f>
        <v>FY 2038-39</v>
      </c>
      <c r="Z94" s="260" t="str">
        <f>Calculation!AA$32</f>
        <v>FY 2039-40</v>
      </c>
      <c r="AA94" s="260" t="str">
        <f>Calculation!AB$32</f>
        <v>FY 2040-41</v>
      </c>
      <c r="AB94" s="260" t="str">
        <f>Calculation!AC$32</f>
        <v>FY 2041-42</v>
      </c>
      <c r="AC94" s="260" t="str">
        <f>Calculation!AD$32</f>
        <v>FY 2042-43</v>
      </c>
      <c r="AD94" s="260" t="str">
        <f>Calculation!AE$32</f>
        <v>FY 2043-44</v>
      </c>
      <c r="AE94" s="260" t="str">
        <f>Calculation!AF$32</f>
        <v>FY 2044-45</v>
      </c>
      <c r="AF94" s="260" t="str">
        <f>Calculation!AG$32</f>
        <v>FY 2045-46</v>
      </c>
      <c r="AG94" s="260" t="str">
        <f>Calculation!AH$32</f>
        <v>FY 2046-47</v>
      </c>
      <c r="AH94" s="260" t="str">
        <f>Calculation!AI$32</f>
        <v>FY 2047-48</v>
      </c>
      <c r="AI94" s="260" t="str">
        <f>Calculation!AJ$32</f>
        <v>FY 2048-49</v>
      </c>
    </row>
    <row r="95" spans="1:66" s="208" customFormat="1" x14ac:dyDescent="0.25">
      <c r="A95" s="230"/>
      <c r="B95" s="220">
        <f>+'Option inputs'!$B$14</f>
        <v>0</v>
      </c>
      <c r="C95" s="261" t="str">
        <f>'Option inputs'!$C$14</f>
        <v>Base case</v>
      </c>
      <c r="D95" s="218"/>
      <c r="E95" s="220" t="s">
        <v>35</v>
      </c>
      <c r="F95" s="254">
        <v>0</v>
      </c>
      <c r="G95" s="254">
        <v>37.911263395511192</v>
      </c>
      <c r="H95" s="254">
        <v>1.2525913029464943</v>
      </c>
      <c r="I95" s="254">
        <v>79323271.238807261</v>
      </c>
      <c r="J95" s="254">
        <v>35678121.517523132</v>
      </c>
      <c r="K95" s="254">
        <v>340994354.562213</v>
      </c>
      <c r="L95" s="254">
        <v>39884964.554389693</v>
      </c>
      <c r="M95" s="254">
        <v>141610001.97919053</v>
      </c>
      <c r="N95" s="254">
        <v>571560658.09154832</v>
      </c>
      <c r="O95" s="254">
        <v>469980108.1340543</v>
      </c>
      <c r="P95" s="254">
        <v>236734803.8934896</v>
      </c>
      <c r="Q95" s="254">
        <v>359048714.4572466</v>
      </c>
      <c r="R95" s="254">
        <v>551979117.8489604</v>
      </c>
      <c r="S95" s="254">
        <v>387108793.0308466</v>
      </c>
      <c r="T95" s="254">
        <v>25685119.533914935</v>
      </c>
      <c r="U95" s="254">
        <v>39.575424245508763</v>
      </c>
      <c r="V95" s="254">
        <v>1193931559.6914179</v>
      </c>
      <c r="W95" s="254">
        <v>542022170.67014956</v>
      </c>
      <c r="X95" s="254">
        <v>231697946.20861876</v>
      </c>
      <c r="Y95" s="254">
        <v>90624520.393418476</v>
      </c>
      <c r="Z95" s="254">
        <v>759496214.37868392</v>
      </c>
      <c r="AA95" s="254">
        <v>746044557.54956675</v>
      </c>
      <c r="AB95" s="254">
        <v>192443050.87626472</v>
      </c>
      <c r="AC95" s="254">
        <v>0</v>
      </c>
      <c r="AD95" s="254">
        <v>731682144.15515554</v>
      </c>
      <c r="AE95" s="254">
        <v>140255196.67702439</v>
      </c>
      <c r="AF95" s="254"/>
      <c r="AG95" s="254"/>
      <c r="AH95" s="254"/>
      <c r="AI95" s="254"/>
      <c r="AJ95" s="262"/>
      <c r="AK95" s="262"/>
      <c r="AL95" s="262"/>
      <c r="AM95" s="262"/>
      <c r="AN95" s="262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62"/>
      <c r="BH95" s="262"/>
      <c r="BI95" s="262"/>
      <c r="BJ95" s="262"/>
      <c r="BK95" s="262"/>
      <c r="BL95" s="262"/>
      <c r="BM95" s="262"/>
      <c r="BN95" s="262"/>
    </row>
    <row r="96" spans="1:66" s="208" customFormat="1" x14ac:dyDescent="0.25">
      <c r="A96" s="230"/>
      <c r="B96" s="220">
        <f>+'Option inputs'!$B$15</f>
        <v>1</v>
      </c>
      <c r="C96" s="263" t="str">
        <f>'Option inputs'!$C$15</f>
        <v>Option 1A</v>
      </c>
      <c r="D96" s="218"/>
      <c r="E96" s="220" t="s">
        <v>35</v>
      </c>
      <c r="F96" s="254">
        <v>0</v>
      </c>
      <c r="G96" s="254">
        <v>12.645690807242174</v>
      </c>
      <c r="H96" s="254">
        <v>0.29202709717307856</v>
      </c>
      <c r="I96" s="254">
        <v>93376969.124198824</v>
      </c>
      <c r="J96" s="254">
        <v>12355031.137542751</v>
      </c>
      <c r="K96" s="254">
        <v>330934709.93903553</v>
      </c>
      <c r="L96" s="254">
        <v>8997359.3878592346</v>
      </c>
      <c r="M96" s="254">
        <v>142589817.94271719</v>
      </c>
      <c r="N96" s="254">
        <v>582258593.04566789</v>
      </c>
      <c r="O96" s="254">
        <v>455642595.46958005</v>
      </c>
      <c r="P96" s="254">
        <v>246944173.11201423</v>
      </c>
      <c r="Q96" s="254">
        <v>355606696.40192646</v>
      </c>
      <c r="R96" s="254">
        <v>543271062.15878296</v>
      </c>
      <c r="S96" s="254">
        <v>375310623.24609447</v>
      </c>
      <c r="T96" s="254">
        <v>34607651.159785137</v>
      </c>
      <c r="U96" s="254">
        <v>6.6862307042140134</v>
      </c>
      <c r="V96" s="254">
        <v>1205747179.0770082</v>
      </c>
      <c r="W96" s="254">
        <v>553987090.78735137</v>
      </c>
      <c r="X96" s="254">
        <v>236244345.24971592</v>
      </c>
      <c r="Y96" s="254">
        <v>98279989.778826922</v>
      </c>
      <c r="Z96" s="254">
        <v>743327545.48308992</v>
      </c>
      <c r="AA96" s="254">
        <v>734381133.15935242</v>
      </c>
      <c r="AB96" s="254">
        <v>206004428.39175546</v>
      </c>
      <c r="AC96" s="254">
        <v>0</v>
      </c>
      <c r="AD96" s="254">
        <v>700662476.37663436</v>
      </c>
      <c r="AE96" s="254">
        <v>145588285.18981013</v>
      </c>
      <c r="AF96" s="254"/>
      <c r="AG96" s="254"/>
      <c r="AH96" s="254"/>
      <c r="AI96" s="254"/>
      <c r="AJ96" s="262"/>
      <c r="AK96" s="262"/>
      <c r="AL96" s="262"/>
      <c r="AM96" s="262"/>
      <c r="AN96" s="262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62"/>
      <c r="BH96" s="262"/>
      <c r="BI96" s="262"/>
      <c r="BJ96" s="262"/>
      <c r="BK96" s="262"/>
      <c r="BL96" s="262"/>
      <c r="BM96" s="262"/>
      <c r="BN96" s="262"/>
    </row>
    <row r="97" spans="1:97" s="208" customFormat="1" x14ac:dyDescent="0.25">
      <c r="A97" s="230"/>
      <c r="B97" s="220">
        <f>+'Option inputs'!$B$16</f>
        <v>2</v>
      </c>
      <c r="C97" s="263" t="str">
        <f>'Option inputs'!$C$16</f>
        <v>Option 1B</v>
      </c>
      <c r="D97" s="218"/>
      <c r="E97" s="220" t="s">
        <v>35</v>
      </c>
      <c r="F97" s="254">
        <v>0</v>
      </c>
      <c r="G97" s="254">
        <v>49.806173470608719</v>
      </c>
      <c r="H97" s="254">
        <v>1.6489571506260405</v>
      </c>
      <c r="I97" s="254">
        <v>78407972.298767328</v>
      </c>
      <c r="J97" s="254">
        <v>13.297952779760804</v>
      </c>
      <c r="K97" s="254">
        <v>362614999.04445952</v>
      </c>
      <c r="L97" s="254">
        <v>16683054.414946198</v>
      </c>
      <c r="M97" s="254">
        <v>142192876.66055194</v>
      </c>
      <c r="N97" s="254">
        <v>580237530.3539108</v>
      </c>
      <c r="O97" s="254">
        <v>450003615.26582533</v>
      </c>
      <c r="P97" s="254">
        <v>258577081.10862267</v>
      </c>
      <c r="Q97" s="254">
        <v>360660482.64774221</v>
      </c>
      <c r="R97" s="254">
        <v>535890905.01240188</v>
      </c>
      <c r="S97" s="254">
        <v>381829424.5551216</v>
      </c>
      <c r="T97" s="254">
        <v>38335001.082962826</v>
      </c>
      <c r="U97" s="254">
        <v>53.472538907755286</v>
      </c>
      <c r="V97" s="254">
        <v>1189300513.3711712</v>
      </c>
      <c r="W97" s="254">
        <v>555682837.52956641</v>
      </c>
      <c r="X97" s="254">
        <v>221025477.27687666</v>
      </c>
      <c r="Y97" s="254">
        <v>97960446.889473543</v>
      </c>
      <c r="Z97" s="254">
        <v>757486419.7452985</v>
      </c>
      <c r="AA97" s="254">
        <v>724389858.37026453</v>
      </c>
      <c r="AB97" s="254">
        <v>205788414.565828</v>
      </c>
      <c r="AC97" s="254">
        <v>0</v>
      </c>
      <c r="AD97" s="254">
        <v>711526656.2335043</v>
      </c>
      <c r="AE97" s="254">
        <v>143636584.50848597</v>
      </c>
      <c r="AF97" s="254"/>
      <c r="AG97" s="254"/>
      <c r="AH97" s="254"/>
      <c r="AI97" s="254"/>
      <c r="AJ97" s="262"/>
      <c r="AK97" s="262"/>
      <c r="AL97" s="262"/>
      <c r="AM97" s="262"/>
      <c r="AN97" s="262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62"/>
      <c r="BH97" s="262"/>
      <c r="BI97" s="262"/>
      <c r="BJ97" s="262"/>
      <c r="BK97" s="262"/>
      <c r="BL97" s="262"/>
      <c r="BM97" s="262"/>
      <c r="BN97" s="262"/>
    </row>
    <row r="98" spans="1:97" s="208" customFormat="1" x14ac:dyDescent="0.25">
      <c r="A98" s="230"/>
      <c r="B98" s="220">
        <f>+'Option inputs'!$B$17</f>
        <v>3</v>
      </c>
      <c r="C98" s="263" t="str">
        <f>'Option inputs'!$C$17</f>
        <v>Option 1C</v>
      </c>
      <c r="D98" s="218"/>
      <c r="E98" s="220" t="s">
        <v>35</v>
      </c>
      <c r="F98" s="254">
        <v>0</v>
      </c>
      <c r="G98" s="254">
        <v>10.655244379620084</v>
      </c>
      <c r="H98" s="254">
        <v>0.21885463476510522</v>
      </c>
      <c r="I98" s="254">
        <v>122109675.53302701</v>
      </c>
      <c r="J98" s="254">
        <v>8032374.5182846477</v>
      </c>
      <c r="K98" s="254">
        <v>321416418.34525365</v>
      </c>
      <c r="L98" s="254">
        <v>45526951.209320739</v>
      </c>
      <c r="M98" s="254">
        <v>141553419.95979968</v>
      </c>
      <c r="N98" s="254">
        <v>568086455.54097903</v>
      </c>
      <c r="O98" s="254">
        <v>476189508.40301055</v>
      </c>
      <c r="P98" s="254">
        <v>231675560.52501148</v>
      </c>
      <c r="Q98" s="254">
        <v>361064359.97191274</v>
      </c>
      <c r="R98" s="254">
        <v>566847654.21005106</v>
      </c>
      <c r="S98" s="254">
        <v>381919402.13282669</v>
      </c>
      <c r="T98" s="254">
        <v>19285368.68517017</v>
      </c>
      <c r="U98" s="254">
        <v>5.9871089361671128</v>
      </c>
      <c r="V98" s="254">
        <v>1208079113.4503922</v>
      </c>
      <c r="W98" s="254">
        <v>540925901.20616591</v>
      </c>
      <c r="X98" s="254">
        <v>221353687.36778963</v>
      </c>
      <c r="Y98" s="254">
        <v>92187836.104027882</v>
      </c>
      <c r="Z98" s="254">
        <v>760626806.72840238</v>
      </c>
      <c r="AA98" s="254">
        <v>751505788.90701199</v>
      </c>
      <c r="AB98" s="254">
        <v>188774067.04005447</v>
      </c>
      <c r="AC98" s="254">
        <v>0</v>
      </c>
      <c r="AD98" s="254">
        <v>732308726.3892256</v>
      </c>
      <c r="AE98" s="254">
        <v>141131129.15911391</v>
      </c>
      <c r="AF98" s="254"/>
      <c r="AG98" s="254"/>
      <c r="AH98" s="254"/>
      <c r="AI98" s="254"/>
      <c r="AJ98" s="262"/>
      <c r="AK98" s="262"/>
      <c r="AL98" s="262"/>
      <c r="AM98" s="262"/>
      <c r="AN98" s="262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62"/>
      <c r="BH98" s="262"/>
      <c r="BI98" s="262"/>
      <c r="BJ98" s="262"/>
      <c r="BK98" s="262"/>
      <c r="BL98" s="262"/>
      <c r="BM98" s="262"/>
      <c r="BN98" s="262"/>
    </row>
    <row r="99" spans="1:97" s="208" customFormat="1" x14ac:dyDescent="0.25">
      <c r="A99" s="230"/>
      <c r="B99" s="220">
        <f>+'Option inputs'!$B$18</f>
        <v>4</v>
      </c>
      <c r="C99" s="263" t="str">
        <f>'Option inputs'!$C$18</f>
        <v>Option 1D</v>
      </c>
      <c r="D99" s="218"/>
      <c r="E99" s="220" t="s">
        <v>35</v>
      </c>
      <c r="F99" s="254">
        <v>0</v>
      </c>
      <c r="G99" s="254">
        <v>34.641861202144014</v>
      </c>
      <c r="H99" s="254">
        <v>1.0388889925224891</v>
      </c>
      <c r="I99" s="254">
        <v>106064861.45136005</v>
      </c>
      <c r="J99" s="254">
        <v>20605659.062230274</v>
      </c>
      <c r="K99" s="254">
        <v>324342982.14912337</v>
      </c>
      <c r="L99" s="254">
        <v>45242119.946027651</v>
      </c>
      <c r="M99" s="254">
        <v>140321560.28376189</v>
      </c>
      <c r="N99" s="254">
        <v>573529803.58415508</v>
      </c>
      <c r="O99" s="254">
        <v>469861043.43111801</v>
      </c>
      <c r="P99" s="254">
        <v>232268399.9737964</v>
      </c>
      <c r="Q99" s="254">
        <v>363287496.04832053</v>
      </c>
      <c r="R99" s="254">
        <v>557570118.15240204</v>
      </c>
      <c r="S99" s="254">
        <v>376486987.60923004</v>
      </c>
      <c r="T99" s="254">
        <v>24828990.938813325</v>
      </c>
      <c r="U99" s="254">
        <v>31.443611897846335</v>
      </c>
      <c r="V99" s="254">
        <v>1213491000.1149659</v>
      </c>
      <c r="W99" s="254">
        <v>547638955.74233019</v>
      </c>
      <c r="X99" s="254">
        <v>219606712.29266286</v>
      </c>
      <c r="Y99" s="254">
        <v>92214942.365649611</v>
      </c>
      <c r="Z99" s="254">
        <v>760984049.72718465</v>
      </c>
      <c r="AA99" s="254">
        <v>746209589.73598003</v>
      </c>
      <c r="AB99" s="254">
        <v>187180699.53455675</v>
      </c>
      <c r="AC99" s="254">
        <v>0</v>
      </c>
      <c r="AD99" s="254">
        <v>731603271.12340415</v>
      </c>
      <c r="AE99" s="254">
        <v>140565486.38100323</v>
      </c>
      <c r="AF99" s="254"/>
      <c r="AG99" s="254"/>
      <c r="AH99" s="254"/>
      <c r="AI99" s="254"/>
      <c r="AJ99" s="262"/>
      <c r="AK99" s="262"/>
      <c r="AL99" s="262"/>
      <c r="AM99" s="262"/>
      <c r="AN99" s="262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62"/>
      <c r="BH99" s="262"/>
      <c r="BI99" s="262"/>
      <c r="BJ99" s="262"/>
      <c r="BK99" s="262"/>
      <c r="BL99" s="262"/>
      <c r="BM99" s="262"/>
      <c r="BN99" s="262"/>
    </row>
    <row r="100" spans="1:97" s="208" customFormat="1" x14ac:dyDescent="0.25">
      <c r="A100" s="230"/>
      <c r="B100" s="274"/>
      <c r="C100" s="275"/>
      <c r="D100" s="276"/>
      <c r="E100" s="274"/>
      <c r="F100" s="277"/>
      <c r="G100" s="277"/>
      <c r="H100" s="277"/>
      <c r="I100" s="277"/>
      <c r="J100" s="277"/>
      <c r="K100" s="277"/>
      <c r="L100" s="277"/>
      <c r="M100" s="277"/>
      <c r="N100" s="277"/>
      <c r="O100" s="277"/>
      <c r="P100" s="277"/>
      <c r="Q100" s="277"/>
      <c r="R100" s="277"/>
      <c r="S100" s="277"/>
      <c r="T100" s="277"/>
      <c r="U100" s="277"/>
      <c r="V100" s="277"/>
      <c r="W100" s="277"/>
      <c r="X100" s="277"/>
      <c r="Y100" s="277"/>
      <c r="Z100" s="277"/>
      <c r="AA100" s="277"/>
      <c r="AB100" s="277"/>
      <c r="AC100" s="277"/>
      <c r="AD100" s="277"/>
      <c r="AE100" s="277"/>
      <c r="AF100" s="277"/>
      <c r="AG100" s="277"/>
      <c r="AH100" s="277"/>
      <c r="AI100" s="277"/>
    </row>
    <row r="101" spans="1:97" ht="13" x14ac:dyDescent="0.3">
      <c r="B101" s="257" t="s">
        <v>27</v>
      </c>
      <c r="C101" s="258"/>
      <c r="D101" s="257"/>
      <c r="E101" s="267" t="s">
        <v>28</v>
      </c>
      <c r="F101" s="258"/>
      <c r="G101" s="257"/>
      <c r="H101" s="257"/>
      <c r="I101" s="257"/>
      <c r="J101" s="257"/>
      <c r="K101" s="257"/>
      <c r="L101" s="257"/>
      <c r="M101" s="257"/>
      <c r="N101" s="257"/>
      <c r="O101" s="257"/>
      <c r="P101" s="257"/>
      <c r="Q101" s="257"/>
      <c r="R101" s="257"/>
      <c r="S101" s="257"/>
      <c r="T101" s="257"/>
      <c r="U101" s="257"/>
      <c r="V101" s="257"/>
      <c r="W101" s="257"/>
      <c r="X101" s="257"/>
      <c r="Y101" s="257"/>
      <c r="Z101" s="257"/>
      <c r="AA101" s="257"/>
      <c r="AB101" s="257"/>
      <c r="AC101" s="257"/>
      <c r="AD101" s="257"/>
      <c r="AE101" s="257"/>
      <c r="AF101" s="257"/>
      <c r="AG101" s="257"/>
      <c r="AH101" s="257"/>
      <c r="AI101" s="257"/>
      <c r="AJ101" s="208"/>
      <c r="AK101" s="208"/>
      <c r="AL101" s="208"/>
      <c r="AM101" s="208"/>
      <c r="AN101" s="208"/>
      <c r="AO101" s="208"/>
      <c r="AP101" s="208"/>
      <c r="AQ101" s="208"/>
      <c r="AR101" s="208"/>
      <c r="AS101" s="208"/>
      <c r="AT101" s="208"/>
      <c r="AU101" s="208"/>
      <c r="AV101" s="208"/>
      <c r="AW101" s="208"/>
      <c r="AX101" s="208"/>
      <c r="AY101" s="208"/>
      <c r="AZ101" s="208"/>
      <c r="BA101" s="208"/>
      <c r="BB101" s="208"/>
      <c r="BC101" s="208"/>
      <c r="BD101" s="208"/>
      <c r="BE101" s="208"/>
      <c r="BF101" s="208"/>
      <c r="BG101" s="208"/>
      <c r="BH101" s="208"/>
      <c r="BI101" s="208"/>
      <c r="BJ101" s="208"/>
      <c r="BK101" s="208"/>
      <c r="BL101" s="208"/>
      <c r="BM101" s="208"/>
      <c r="BN101" s="208"/>
      <c r="BO101" s="208"/>
      <c r="BP101" s="208"/>
      <c r="BQ101" s="208"/>
      <c r="BR101" s="208"/>
      <c r="BS101" s="208"/>
      <c r="BT101" s="208"/>
      <c r="BU101" s="208"/>
      <c r="BV101" s="208"/>
      <c r="BW101" s="208"/>
      <c r="BX101" s="208"/>
      <c r="BY101" s="208"/>
      <c r="BZ101" s="208"/>
      <c r="CA101" s="208"/>
      <c r="CB101" s="208"/>
      <c r="CC101" s="208"/>
      <c r="CD101" s="208"/>
      <c r="CE101" s="208"/>
      <c r="CF101" s="208"/>
      <c r="CG101" s="208"/>
      <c r="CH101" s="208"/>
      <c r="CI101" s="208"/>
      <c r="CJ101" s="208"/>
      <c r="CK101" s="208"/>
      <c r="CL101" s="208"/>
      <c r="CM101" s="208"/>
      <c r="CN101" s="208"/>
      <c r="CO101" s="208"/>
      <c r="CP101" s="208"/>
      <c r="CQ101" s="208"/>
      <c r="CR101" s="208"/>
      <c r="CS101" s="208"/>
    </row>
    <row r="102" spans="1:97" s="208" customFormat="1" ht="13" x14ac:dyDescent="0.3">
      <c r="A102" s="230"/>
      <c r="B102" s="269"/>
      <c r="C102" s="270"/>
      <c r="D102" s="269"/>
      <c r="E102" s="271"/>
      <c r="F102" s="270"/>
      <c r="G102" s="269"/>
      <c r="H102" s="269"/>
      <c r="I102" s="269"/>
      <c r="J102" s="269"/>
      <c r="K102" s="269"/>
      <c r="L102" s="269"/>
      <c r="M102" s="269"/>
      <c r="N102" s="269"/>
      <c r="O102" s="269"/>
      <c r="P102" s="269"/>
      <c r="Q102" s="269"/>
      <c r="R102" s="269"/>
      <c r="S102" s="269"/>
      <c r="T102" s="269"/>
      <c r="U102" s="269"/>
      <c r="V102" s="269"/>
      <c r="W102" s="269"/>
      <c r="X102" s="269"/>
      <c r="Y102" s="269"/>
      <c r="Z102" s="269"/>
      <c r="AA102" s="269"/>
      <c r="AB102" s="269"/>
      <c r="AC102" s="269"/>
      <c r="AD102" s="269"/>
      <c r="AE102" s="269"/>
      <c r="AF102" s="269"/>
      <c r="AG102" s="269"/>
      <c r="AH102" s="269"/>
      <c r="AI102" s="269"/>
    </row>
    <row r="103" spans="1:97" ht="13" x14ac:dyDescent="0.3">
      <c r="B103" s="165" t="s">
        <v>14</v>
      </c>
      <c r="C103" s="216" t="s">
        <v>13</v>
      </c>
      <c r="D103" s="216" t="s">
        <v>93</v>
      </c>
      <c r="E103" s="217" t="s">
        <v>7</v>
      </c>
      <c r="F103" s="260" t="str">
        <f>Calculation!G$32</f>
        <v>FY 2019-20</v>
      </c>
      <c r="G103" s="260" t="str">
        <f>Calculation!H$32</f>
        <v>FY 2020-21</v>
      </c>
      <c r="H103" s="260" t="str">
        <f>Calculation!I$32</f>
        <v>FY 2021-22</v>
      </c>
      <c r="I103" s="260" t="str">
        <f>Calculation!J$32</f>
        <v>FY 2022-23</v>
      </c>
      <c r="J103" s="260" t="str">
        <f>Calculation!K$32</f>
        <v>FY 2023-24</v>
      </c>
      <c r="K103" s="260" t="str">
        <f>Calculation!L$32</f>
        <v>FY 2024-25</v>
      </c>
      <c r="L103" s="260" t="str">
        <f>Calculation!M$32</f>
        <v>FY 2025-26</v>
      </c>
      <c r="M103" s="260" t="str">
        <f>Calculation!N$32</f>
        <v>FY 2026-27</v>
      </c>
      <c r="N103" s="260" t="str">
        <f>Calculation!O$32</f>
        <v>FY 2027-28</v>
      </c>
      <c r="O103" s="260" t="str">
        <f>Calculation!P$32</f>
        <v>FY 2028-29</v>
      </c>
      <c r="P103" s="260" t="str">
        <f>Calculation!Q$32</f>
        <v>FY 2029-30</v>
      </c>
      <c r="Q103" s="260" t="str">
        <f>Calculation!R$32</f>
        <v>FY 2030-31</v>
      </c>
      <c r="R103" s="260" t="str">
        <f>Calculation!S$32</f>
        <v>FY 2031-32</v>
      </c>
      <c r="S103" s="260" t="str">
        <f>Calculation!T$32</f>
        <v>FY 2032-33</v>
      </c>
      <c r="T103" s="260" t="str">
        <f>Calculation!U$32</f>
        <v>FY 2033-34</v>
      </c>
      <c r="U103" s="260" t="str">
        <f>Calculation!V$32</f>
        <v>FY 2034-35</v>
      </c>
      <c r="V103" s="260" t="str">
        <f>Calculation!W$32</f>
        <v>FY 2035-36</v>
      </c>
      <c r="W103" s="260" t="str">
        <f>Calculation!X$32</f>
        <v>FY 2036-37</v>
      </c>
      <c r="X103" s="260" t="str">
        <f>Calculation!Y$32</f>
        <v>FY 2037-38</v>
      </c>
      <c r="Y103" s="260" t="str">
        <f>Calculation!Z$32</f>
        <v>FY 2038-39</v>
      </c>
      <c r="Z103" s="260" t="str">
        <f>Calculation!AA$32</f>
        <v>FY 2039-40</v>
      </c>
      <c r="AA103" s="260" t="str">
        <f>Calculation!AB$32</f>
        <v>FY 2040-41</v>
      </c>
      <c r="AB103" s="260" t="str">
        <f>Calculation!AC$32</f>
        <v>FY 2041-42</v>
      </c>
      <c r="AC103" s="260" t="str">
        <f>Calculation!AD$32</f>
        <v>FY 2042-43</v>
      </c>
      <c r="AD103" s="260" t="str">
        <f>Calculation!AE$32</f>
        <v>FY 2043-44</v>
      </c>
      <c r="AE103" s="260" t="str">
        <f>Calculation!AF$32</f>
        <v>FY 2044-45</v>
      </c>
      <c r="AF103" s="260" t="str">
        <f>Calculation!AG$32</f>
        <v>FY 2045-46</v>
      </c>
      <c r="AG103" s="260" t="str">
        <f>Calculation!AH$32</f>
        <v>FY 2046-47</v>
      </c>
      <c r="AH103" s="260" t="str">
        <f>Calculation!AI$32</f>
        <v>FY 2047-48</v>
      </c>
      <c r="AI103" s="260" t="str">
        <f>Calculation!AJ$32</f>
        <v>FY 2048-49</v>
      </c>
      <c r="AJ103" s="208"/>
      <c r="AK103" s="208"/>
      <c r="AL103" s="208"/>
      <c r="AM103" s="208"/>
      <c r="AN103" s="208"/>
      <c r="AO103" s="208"/>
      <c r="AP103" s="208"/>
      <c r="AQ103" s="208"/>
      <c r="AR103" s="208"/>
      <c r="AS103" s="208"/>
      <c r="AT103" s="208"/>
      <c r="AU103" s="208"/>
      <c r="AV103" s="208"/>
      <c r="AW103" s="208"/>
      <c r="AX103" s="208"/>
      <c r="AY103" s="208"/>
      <c r="AZ103" s="208"/>
      <c r="BA103" s="208"/>
      <c r="BB103" s="208"/>
      <c r="BC103" s="208"/>
      <c r="BD103" s="208"/>
      <c r="BE103" s="208"/>
      <c r="BF103" s="208"/>
      <c r="BG103" s="208"/>
      <c r="BH103" s="208"/>
      <c r="BI103" s="208"/>
      <c r="BJ103" s="208"/>
      <c r="BK103" s="208"/>
      <c r="BL103" s="208"/>
      <c r="BM103" s="208"/>
      <c r="BN103" s="208"/>
      <c r="BO103" s="208"/>
      <c r="BP103" s="208"/>
      <c r="BQ103" s="208"/>
      <c r="BR103" s="208"/>
      <c r="BS103" s="208"/>
      <c r="BT103" s="208"/>
      <c r="BU103" s="208"/>
      <c r="BV103" s="208"/>
      <c r="BW103" s="208"/>
      <c r="BX103" s="208"/>
      <c r="BY103" s="208"/>
      <c r="BZ103" s="208"/>
      <c r="CA103" s="208"/>
      <c r="CB103" s="208"/>
      <c r="CC103" s="208"/>
      <c r="CD103" s="208"/>
      <c r="CE103" s="208"/>
      <c r="CF103" s="208"/>
      <c r="CG103" s="208"/>
      <c r="CH103" s="208"/>
      <c r="CI103" s="208"/>
      <c r="CJ103" s="208"/>
      <c r="CK103" s="208"/>
      <c r="CL103" s="208"/>
      <c r="CM103" s="208"/>
      <c r="CN103" s="208"/>
      <c r="CO103" s="208"/>
      <c r="CP103" s="208"/>
      <c r="CQ103" s="208"/>
      <c r="CR103" s="208"/>
      <c r="CS103" s="208"/>
    </row>
    <row r="104" spans="1:97" x14ac:dyDescent="0.25">
      <c r="B104" s="220">
        <f>+'Option inputs'!$B$14</f>
        <v>0</v>
      </c>
      <c r="C104" s="261" t="str">
        <f>'Option inputs'!$C$14</f>
        <v>Base case</v>
      </c>
      <c r="D104" s="218"/>
      <c r="E104" s="220" t="s">
        <v>35</v>
      </c>
      <c r="F104" s="254">
        <v>0</v>
      </c>
      <c r="G104" s="254">
        <v>2705125892.395936</v>
      </c>
      <c r="H104" s="254">
        <v>2563435730.0176044</v>
      </c>
      <c r="I104" s="254">
        <v>2537351134.6315861</v>
      </c>
      <c r="J104" s="254">
        <v>2606465195.3320107</v>
      </c>
      <c r="K104" s="254">
        <v>2760373463.2113609</v>
      </c>
      <c r="L104" s="254">
        <v>2765830296.3512368</v>
      </c>
      <c r="M104" s="254">
        <v>2688437649.8127947</v>
      </c>
      <c r="N104" s="254">
        <v>2922825388.5379844</v>
      </c>
      <c r="O104" s="254">
        <v>2733041380.7858472</v>
      </c>
      <c r="P104" s="254">
        <v>2569994222.852478</v>
      </c>
      <c r="Q104" s="254">
        <v>2549697179.6388445</v>
      </c>
      <c r="R104" s="254">
        <v>2352229085.5770416</v>
      </c>
      <c r="S104" s="254">
        <v>2499871087.8966227</v>
      </c>
      <c r="T104" s="254">
        <v>2467524911.4597259</v>
      </c>
      <c r="U104" s="254">
        <v>2203715541.9352884</v>
      </c>
      <c r="V104" s="254">
        <v>2354927490.6279798</v>
      </c>
      <c r="W104" s="254">
        <v>2562381969.8459506</v>
      </c>
      <c r="X104" s="254">
        <v>2605611401.1219282</v>
      </c>
      <c r="Y104" s="254">
        <v>2541853328.1138783</v>
      </c>
      <c r="Z104" s="254">
        <v>2450265438.2021961</v>
      </c>
      <c r="AA104" s="254">
        <v>2523560130.9556723</v>
      </c>
      <c r="AB104" s="254">
        <v>2622216697.2014194</v>
      </c>
      <c r="AC104" s="254">
        <v>2197485159.7275424</v>
      </c>
      <c r="AD104" s="254">
        <v>3354654877.4132948</v>
      </c>
      <c r="AE104" s="254">
        <v>3249900946.8951149</v>
      </c>
      <c r="AF104" s="254"/>
      <c r="AG104" s="254"/>
      <c r="AH104" s="254"/>
      <c r="AI104" s="254"/>
      <c r="AJ104" s="262"/>
      <c r="AK104" s="262"/>
      <c r="AL104" s="262"/>
      <c r="AM104" s="262"/>
      <c r="AN104" s="262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62"/>
      <c r="BH104" s="262"/>
      <c r="BI104" s="262"/>
      <c r="BJ104" s="262"/>
      <c r="BK104" s="262"/>
      <c r="BL104" s="262"/>
      <c r="BM104" s="262"/>
      <c r="BN104" s="262"/>
      <c r="BO104" s="208"/>
      <c r="BP104" s="208"/>
      <c r="BQ104" s="208"/>
      <c r="BR104" s="208"/>
      <c r="BS104" s="208"/>
      <c r="BT104" s="208"/>
      <c r="BU104" s="208"/>
      <c r="BV104" s="208"/>
      <c r="BW104" s="208"/>
      <c r="BX104" s="208"/>
      <c r="BY104" s="208"/>
      <c r="BZ104" s="208"/>
      <c r="CA104" s="208"/>
      <c r="CB104" s="208"/>
      <c r="CC104" s="208"/>
      <c r="CD104" s="208"/>
      <c r="CE104" s="208"/>
      <c r="CF104" s="208"/>
      <c r="CG104" s="208"/>
      <c r="CH104" s="208"/>
      <c r="CI104" s="208"/>
      <c r="CJ104" s="208"/>
      <c r="CK104" s="208"/>
      <c r="CL104" s="208"/>
      <c r="CM104" s="208"/>
      <c r="CN104" s="208"/>
      <c r="CO104" s="208"/>
      <c r="CP104" s="208"/>
      <c r="CQ104" s="208"/>
      <c r="CR104" s="208"/>
      <c r="CS104" s="208"/>
    </row>
    <row r="105" spans="1:97" x14ac:dyDescent="0.25">
      <c r="B105" s="220">
        <f>+'Option inputs'!$B$15</f>
        <v>1</v>
      </c>
      <c r="C105" s="263" t="str">
        <f>'Option inputs'!$C$15</f>
        <v>Option 1A</v>
      </c>
      <c r="D105" s="218"/>
      <c r="E105" s="220" t="s">
        <v>35</v>
      </c>
      <c r="F105" s="254">
        <v>0</v>
      </c>
      <c r="G105" s="254">
        <v>2705125913.1670141</v>
      </c>
      <c r="H105" s="254">
        <v>2563396779.9270487</v>
      </c>
      <c r="I105" s="254">
        <v>2531599738.1757197</v>
      </c>
      <c r="J105" s="254">
        <v>2600044128.6104708</v>
      </c>
      <c r="K105" s="254">
        <v>2753441686.119535</v>
      </c>
      <c r="L105" s="254">
        <v>2755423230.1473851</v>
      </c>
      <c r="M105" s="254">
        <v>2680813944.3721294</v>
      </c>
      <c r="N105" s="254">
        <v>2913741809.9972754</v>
      </c>
      <c r="O105" s="254">
        <v>2737308918.2243943</v>
      </c>
      <c r="P105" s="254">
        <v>2581201849.4747901</v>
      </c>
      <c r="Q105" s="254">
        <v>2563252535.6023016</v>
      </c>
      <c r="R105" s="254">
        <v>2361409180.2258177</v>
      </c>
      <c r="S105" s="254">
        <v>2487494463.3193049</v>
      </c>
      <c r="T105" s="254">
        <v>2465394727.3180108</v>
      </c>
      <c r="U105" s="254">
        <v>2223108551.6253347</v>
      </c>
      <c r="V105" s="254">
        <v>2366989614.3354473</v>
      </c>
      <c r="W105" s="254">
        <v>2543301865.1578178</v>
      </c>
      <c r="X105" s="254">
        <v>2591473390.3924441</v>
      </c>
      <c r="Y105" s="254">
        <v>2534261896.7226653</v>
      </c>
      <c r="Z105" s="254">
        <v>2437875290.2367945</v>
      </c>
      <c r="AA105" s="254">
        <v>2495929127.7151852</v>
      </c>
      <c r="AB105" s="254">
        <v>2609940694.0491548</v>
      </c>
      <c r="AC105" s="254">
        <v>2203870932.1876688</v>
      </c>
      <c r="AD105" s="254">
        <v>3300287484.946094</v>
      </c>
      <c r="AE105" s="254">
        <v>3204297808.5493917</v>
      </c>
      <c r="AF105" s="254"/>
      <c r="AG105" s="254"/>
      <c r="AH105" s="254"/>
      <c r="AI105" s="254"/>
      <c r="AJ105" s="262"/>
      <c r="AK105" s="262"/>
      <c r="AL105" s="262"/>
      <c r="AM105" s="262"/>
      <c r="AN105" s="262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62"/>
      <c r="BH105" s="262"/>
      <c r="BI105" s="262"/>
      <c r="BJ105" s="262"/>
      <c r="BK105" s="262"/>
      <c r="BL105" s="262"/>
      <c r="BM105" s="262"/>
      <c r="BN105" s="262"/>
      <c r="BO105" s="208"/>
      <c r="BP105" s="208"/>
      <c r="BQ105" s="208"/>
      <c r="BR105" s="208"/>
      <c r="BS105" s="208"/>
      <c r="BT105" s="208"/>
      <c r="BU105" s="208"/>
      <c r="BV105" s="208"/>
      <c r="BW105" s="208"/>
      <c r="BX105" s="208"/>
      <c r="BY105" s="208"/>
      <c r="BZ105" s="208"/>
      <c r="CA105" s="208"/>
      <c r="CB105" s="208"/>
      <c r="CC105" s="208"/>
      <c r="CD105" s="208"/>
      <c r="CE105" s="208"/>
      <c r="CF105" s="208"/>
      <c r="CG105" s="208"/>
      <c r="CH105" s="208"/>
      <c r="CI105" s="208"/>
      <c r="CJ105" s="208"/>
      <c r="CK105" s="208"/>
      <c r="CL105" s="208"/>
      <c r="CM105" s="208"/>
      <c r="CN105" s="208"/>
      <c r="CO105" s="208"/>
      <c r="CP105" s="208"/>
      <c r="CQ105" s="208"/>
      <c r="CR105" s="208"/>
      <c r="CS105" s="208"/>
    </row>
    <row r="106" spans="1:97" x14ac:dyDescent="0.25">
      <c r="B106" s="220">
        <f>+'Option inputs'!$B$16</f>
        <v>2</v>
      </c>
      <c r="C106" s="263" t="str">
        <f>'Option inputs'!$C$16</f>
        <v>Option 1B</v>
      </c>
      <c r="D106" s="218"/>
      <c r="E106" s="220" t="s">
        <v>35</v>
      </c>
      <c r="F106" s="254">
        <v>0</v>
      </c>
      <c r="G106" s="254">
        <v>2705125936.117775</v>
      </c>
      <c r="H106" s="254">
        <v>2563402256.5758071</v>
      </c>
      <c r="I106" s="254">
        <v>2531812629.3017421</v>
      </c>
      <c r="J106" s="254">
        <v>2599575276.817286</v>
      </c>
      <c r="K106" s="254">
        <v>2752864511.7808585</v>
      </c>
      <c r="L106" s="254">
        <v>2755342271.5962043</v>
      </c>
      <c r="M106" s="254">
        <v>2679489159.2972445</v>
      </c>
      <c r="N106" s="254">
        <v>2913821641.5900536</v>
      </c>
      <c r="O106" s="254">
        <v>2734352052.9910612</v>
      </c>
      <c r="P106" s="254">
        <v>2573623495.8701358</v>
      </c>
      <c r="Q106" s="254">
        <v>2554511658.770195</v>
      </c>
      <c r="R106" s="254">
        <v>2350439521.4670954</v>
      </c>
      <c r="S106" s="254">
        <v>2475046145.5543923</v>
      </c>
      <c r="T106" s="254">
        <v>2465575330.8036809</v>
      </c>
      <c r="U106" s="254">
        <v>2205127712.4129033</v>
      </c>
      <c r="V106" s="254">
        <v>2352730291.4153156</v>
      </c>
      <c r="W106" s="254">
        <v>2548659064.980701</v>
      </c>
      <c r="X106" s="254">
        <v>2591692835.4505954</v>
      </c>
      <c r="Y106" s="254">
        <v>2533823411.7760324</v>
      </c>
      <c r="Z106" s="254">
        <v>2433303650.840919</v>
      </c>
      <c r="AA106" s="254">
        <v>2505535215.3101687</v>
      </c>
      <c r="AB106" s="254">
        <v>2611408431.2090073</v>
      </c>
      <c r="AC106" s="254">
        <v>2188951627.5672789</v>
      </c>
      <c r="AD106" s="254">
        <v>3304560521.3349066</v>
      </c>
      <c r="AE106" s="254">
        <v>3209055522.1398597</v>
      </c>
      <c r="AF106" s="254"/>
      <c r="AG106" s="254"/>
      <c r="AH106" s="254"/>
      <c r="AI106" s="254"/>
      <c r="AJ106" s="262"/>
      <c r="AK106" s="262"/>
      <c r="AL106" s="262"/>
      <c r="AM106" s="262"/>
      <c r="AN106" s="262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62"/>
      <c r="BH106" s="262"/>
      <c r="BI106" s="262"/>
      <c r="BJ106" s="262"/>
      <c r="BK106" s="262"/>
      <c r="BL106" s="262"/>
      <c r="BM106" s="262"/>
      <c r="BN106" s="262"/>
      <c r="BO106" s="208"/>
      <c r="BP106" s="208"/>
      <c r="BQ106" s="208"/>
      <c r="BR106" s="208"/>
      <c r="BS106" s="208"/>
      <c r="BT106" s="208"/>
      <c r="BU106" s="208"/>
      <c r="BV106" s="208"/>
      <c r="BW106" s="208"/>
      <c r="BX106" s="208"/>
      <c r="BY106" s="208"/>
      <c r="BZ106" s="208"/>
      <c r="CA106" s="208"/>
      <c r="CB106" s="208"/>
      <c r="CC106" s="208"/>
      <c r="CD106" s="208"/>
      <c r="CE106" s="208"/>
      <c r="CF106" s="208"/>
      <c r="CG106" s="208"/>
      <c r="CH106" s="208"/>
      <c r="CI106" s="208"/>
      <c r="CJ106" s="208"/>
      <c r="CK106" s="208"/>
      <c r="CL106" s="208"/>
      <c r="CM106" s="208"/>
      <c r="CN106" s="208"/>
      <c r="CO106" s="208"/>
      <c r="CP106" s="208"/>
      <c r="CQ106" s="208"/>
      <c r="CR106" s="208"/>
      <c r="CS106" s="208"/>
    </row>
    <row r="107" spans="1:97" x14ac:dyDescent="0.25">
      <c r="B107" s="220">
        <f>+'Option inputs'!$B$17</f>
        <v>3</v>
      </c>
      <c r="C107" s="263" t="str">
        <f>'Option inputs'!$C$17</f>
        <v>Option 1C</v>
      </c>
      <c r="D107" s="218"/>
      <c r="E107" s="220" t="s">
        <v>35</v>
      </c>
      <c r="F107" s="254">
        <v>0</v>
      </c>
      <c r="G107" s="254">
        <v>2705125913.9970593</v>
      </c>
      <c r="H107" s="254">
        <v>2563420943.2535086</v>
      </c>
      <c r="I107" s="254">
        <v>2537173799.4984927</v>
      </c>
      <c r="J107" s="254">
        <v>2606581893.500896</v>
      </c>
      <c r="K107" s="254">
        <v>2760686559.2695689</v>
      </c>
      <c r="L107" s="254">
        <v>2765493000.3176894</v>
      </c>
      <c r="M107" s="254">
        <v>2689945319.2185154</v>
      </c>
      <c r="N107" s="254">
        <v>2922747031.0892448</v>
      </c>
      <c r="O107" s="254">
        <v>2735983855.6678233</v>
      </c>
      <c r="P107" s="254">
        <v>2571553881.3487844</v>
      </c>
      <c r="Q107" s="254">
        <v>2552326296.4414229</v>
      </c>
      <c r="R107" s="254">
        <v>2362390015.1918473</v>
      </c>
      <c r="S107" s="254">
        <v>2506562265.8607769</v>
      </c>
      <c r="T107" s="254">
        <v>2463987599.4295354</v>
      </c>
      <c r="U107" s="254">
        <v>2221116985.8897281</v>
      </c>
      <c r="V107" s="254">
        <v>2372383549.9222379</v>
      </c>
      <c r="W107" s="254">
        <v>2558183624.9035773</v>
      </c>
      <c r="X107" s="254">
        <v>2603513138.958951</v>
      </c>
      <c r="Y107" s="254">
        <v>2539487426.2701941</v>
      </c>
      <c r="Z107" s="254">
        <v>2466394868.8802938</v>
      </c>
      <c r="AA107" s="254">
        <v>2515556640.3117156</v>
      </c>
      <c r="AB107" s="254">
        <v>2621239670.8984728</v>
      </c>
      <c r="AC107" s="254">
        <v>2203811400.2996497</v>
      </c>
      <c r="AD107" s="254">
        <v>3344246979.5665455</v>
      </c>
      <c r="AE107" s="254">
        <v>3238248322.4484277</v>
      </c>
      <c r="AF107" s="254"/>
      <c r="AG107" s="254"/>
      <c r="AH107" s="254"/>
      <c r="AI107" s="254"/>
      <c r="AJ107" s="262"/>
      <c r="AK107" s="262"/>
      <c r="AL107" s="262"/>
      <c r="AM107" s="262"/>
      <c r="AN107" s="262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62"/>
      <c r="BH107" s="262"/>
      <c r="BI107" s="262"/>
      <c r="BJ107" s="262"/>
      <c r="BK107" s="262"/>
      <c r="BL107" s="262"/>
      <c r="BM107" s="262"/>
      <c r="BN107" s="262"/>
      <c r="BO107" s="208"/>
      <c r="BP107" s="208"/>
      <c r="BQ107" s="208"/>
      <c r="BR107" s="208"/>
      <c r="BS107" s="208"/>
      <c r="BT107" s="208"/>
      <c r="BU107" s="208"/>
      <c r="BV107" s="208"/>
      <c r="BW107" s="208"/>
      <c r="BX107" s="208"/>
      <c r="BY107" s="208"/>
      <c r="BZ107" s="208"/>
      <c r="CA107" s="208"/>
      <c r="CB107" s="208"/>
      <c r="CC107" s="208"/>
      <c r="CD107" s="208"/>
      <c r="CE107" s="208"/>
      <c r="CF107" s="208"/>
      <c r="CG107" s="208"/>
      <c r="CH107" s="208"/>
      <c r="CI107" s="208"/>
      <c r="CJ107" s="208"/>
      <c r="CK107" s="208"/>
      <c r="CL107" s="208"/>
      <c r="CM107" s="208"/>
      <c r="CN107" s="208"/>
      <c r="CO107" s="208"/>
      <c r="CP107" s="208"/>
      <c r="CQ107" s="208"/>
      <c r="CR107" s="208"/>
      <c r="CS107" s="208"/>
    </row>
    <row r="108" spans="1:97" x14ac:dyDescent="0.25">
      <c r="B108" s="220">
        <f>+'Option inputs'!$B$18</f>
        <v>4</v>
      </c>
      <c r="C108" s="263" t="str">
        <f>'Option inputs'!$C$18</f>
        <v>Option 1D</v>
      </c>
      <c r="D108" s="218"/>
      <c r="E108" s="220" t="s">
        <v>35</v>
      </c>
      <c r="F108" s="254">
        <v>0</v>
      </c>
      <c r="G108" s="254">
        <v>2705125904.7025247</v>
      </c>
      <c r="H108" s="254">
        <v>2563423547.5210547</v>
      </c>
      <c r="I108" s="254">
        <v>2537271809.096169</v>
      </c>
      <c r="J108" s="254">
        <v>2606775355.1212587</v>
      </c>
      <c r="K108" s="254">
        <v>2760957882.885931</v>
      </c>
      <c r="L108" s="254">
        <v>2765910436.8435931</v>
      </c>
      <c r="M108" s="254">
        <v>2689838677.0521345</v>
      </c>
      <c r="N108" s="254">
        <v>2922956729.246572</v>
      </c>
      <c r="O108" s="254">
        <v>2736139377.1348505</v>
      </c>
      <c r="P108" s="254">
        <v>2570046441.7750301</v>
      </c>
      <c r="Q108" s="254">
        <v>2550882976.6614647</v>
      </c>
      <c r="R108" s="254">
        <v>2356060418.8553338</v>
      </c>
      <c r="S108" s="254">
        <v>2503189994.4283566</v>
      </c>
      <c r="T108" s="254">
        <v>2467109484.6735301</v>
      </c>
      <c r="U108" s="254">
        <v>2206308883.3735342</v>
      </c>
      <c r="V108" s="254">
        <v>2363321502.3984761</v>
      </c>
      <c r="W108" s="254">
        <v>2558485237.5890636</v>
      </c>
      <c r="X108" s="254">
        <v>2604331938.6475735</v>
      </c>
      <c r="Y108" s="254">
        <v>2540775824.1421995</v>
      </c>
      <c r="Z108" s="254">
        <v>2457999095.5442796</v>
      </c>
      <c r="AA108" s="254">
        <v>2519237664.6575532</v>
      </c>
      <c r="AB108" s="254">
        <v>2619642107.0171752</v>
      </c>
      <c r="AC108" s="254">
        <v>2196536779.4478669</v>
      </c>
      <c r="AD108" s="254">
        <v>3349214425.1326137</v>
      </c>
      <c r="AE108" s="254">
        <v>3241384513.8054185</v>
      </c>
      <c r="AF108" s="254"/>
      <c r="AG108" s="254"/>
      <c r="AH108" s="254"/>
      <c r="AI108" s="254"/>
      <c r="AJ108" s="262"/>
      <c r="AK108" s="262"/>
      <c r="AL108" s="262"/>
      <c r="AM108" s="262"/>
      <c r="AN108" s="262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62"/>
      <c r="BH108" s="262"/>
      <c r="BI108" s="262"/>
      <c r="BJ108" s="262"/>
      <c r="BK108" s="262"/>
      <c r="BL108" s="262"/>
      <c r="BM108" s="262"/>
      <c r="BN108" s="262"/>
      <c r="BO108" s="208"/>
      <c r="BP108" s="208"/>
      <c r="BQ108" s="208"/>
      <c r="BR108" s="208"/>
      <c r="BS108" s="208"/>
      <c r="BT108" s="208"/>
      <c r="BU108" s="208"/>
      <c r="BV108" s="208"/>
      <c r="BW108" s="208"/>
      <c r="BX108" s="208"/>
      <c r="BY108" s="208"/>
      <c r="BZ108" s="208"/>
      <c r="CA108" s="208"/>
      <c r="CB108" s="208"/>
      <c r="CC108" s="208"/>
      <c r="CD108" s="208"/>
      <c r="CE108" s="208"/>
      <c r="CF108" s="208"/>
      <c r="CG108" s="208"/>
      <c r="CH108" s="208"/>
      <c r="CI108" s="208"/>
      <c r="CJ108" s="208"/>
      <c r="CK108" s="208"/>
      <c r="CL108" s="208"/>
      <c r="CM108" s="208"/>
      <c r="CN108" s="208"/>
      <c r="CO108" s="208"/>
      <c r="CP108" s="208"/>
      <c r="CQ108" s="208"/>
      <c r="CR108" s="208"/>
      <c r="CS108" s="208"/>
    </row>
    <row r="109" spans="1:97" x14ac:dyDescent="0.25">
      <c r="E109" s="215"/>
      <c r="AF109" s="207"/>
      <c r="AG109" s="207"/>
      <c r="AH109" s="207"/>
      <c r="AI109" s="207"/>
      <c r="AJ109" s="208"/>
      <c r="AK109" s="208"/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  <c r="AV109" s="208"/>
      <c r="AW109" s="208"/>
      <c r="AX109" s="208"/>
      <c r="AY109" s="208"/>
      <c r="AZ109" s="208"/>
      <c r="BA109" s="208"/>
      <c r="BB109" s="208"/>
      <c r="BC109" s="208"/>
      <c r="BD109" s="208"/>
      <c r="BE109" s="208"/>
      <c r="BF109" s="208"/>
      <c r="BG109" s="208"/>
      <c r="BH109" s="208"/>
      <c r="BI109" s="208"/>
      <c r="BJ109" s="208"/>
      <c r="BK109" s="208"/>
      <c r="BL109" s="208"/>
      <c r="BM109" s="208"/>
      <c r="BN109" s="208"/>
      <c r="BO109" s="208"/>
      <c r="BP109" s="208"/>
      <c r="BQ109" s="208"/>
      <c r="BR109" s="208"/>
      <c r="BS109" s="208"/>
      <c r="BT109" s="208"/>
      <c r="BU109" s="208"/>
      <c r="BV109" s="208"/>
      <c r="BW109" s="208"/>
      <c r="BX109" s="208"/>
      <c r="BY109" s="208"/>
      <c r="BZ109" s="208"/>
      <c r="CA109" s="208"/>
      <c r="CB109" s="208"/>
      <c r="CC109" s="208"/>
      <c r="CD109" s="208"/>
      <c r="CE109" s="208"/>
      <c r="CF109" s="208"/>
      <c r="CG109" s="208"/>
      <c r="CH109" s="208"/>
      <c r="CI109" s="208"/>
      <c r="CJ109" s="208"/>
      <c r="CK109" s="208"/>
      <c r="CL109" s="208"/>
      <c r="CM109" s="208"/>
      <c r="CN109" s="208"/>
      <c r="CO109" s="208"/>
      <c r="CP109" s="208"/>
      <c r="CQ109" s="208"/>
      <c r="CR109" s="208"/>
      <c r="CS109" s="208"/>
    </row>
    <row r="110" spans="1:97" ht="13" x14ac:dyDescent="0.3">
      <c r="B110" s="165" t="s">
        <v>14</v>
      </c>
      <c r="C110" s="216" t="s">
        <v>13</v>
      </c>
      <c r="D110" s="216" t="str">
        <f>$D$50</f>
        <v>Neutral + lower emissions</v>
      </c>
      <c r="E110" s="217" t="s">
        <v>7</v>
      </c>
      <c r="F110" s="260" t="str">
        <f>Calculation!G$32</f>
        <v>FY 2019-20</v>
      </c>
      <c r="G110" s="260" t="str">
        <f>Calculation!H$32</f>
        <v>FY 2020-21</v>
      </c>
      <c r="H110" s="260" t="str">
        <f>Calculation!I$32</f>
        <v>FY 2021-22</v>
      </c>
      <c r="I110" s="260" t="str">
        <f>Calculation!J$32</f>
        <v>FY 2022-23</v>
      </c>
      <c r="J110" s="260" t="str">
        <f>Calculation!K$32</f>
        <v>FY 2023-24</v>
      </c>
      <c r="K110" s="260" t="str">
        <f>Calculation!L$32</f>
        <v>FY 2024-25</v>
      </c>
      <c r="L110" s="260" t="str">
        <f>Calculation!M$32</f>
        <v>FY 2025-26</v>
      </c>
      <c r="M110" s="260" t="str">
        <f>Calculation!N$32</f>
        <v>FY 2026-27</v>
      </c>
      <c r="N110" s="260" t="str">
        <f>Calculation!O$32</f>
        <v>FY 2027-28</v>
      </c>
      <c r="O110" s="260" t="str">
        <f>Calculation!P$32</f>
        <v>FY 2028-29</v>
      </c>
      <c r="P110" s="260" t="str">
        <f>Calculation!Q$32</f>
        <v>FY 2029-30</v>
      </c>
      <c r="Q110" s="260" t="str">
        <f>Calculation!R$32</f>
        <v>FY 2030-31</v>
      </c>
      <c r="R110" s="260" t="str">
        <f>Calculation!S$32</f>
        <v>FY 2031-32</v>
      </c>
      <c r="S110" s="260" t="str">
        <f>Calculation!T$32</f>
        <v>FY 2032-33</v>
      </c>
      <c r="T110" s="260" t="str">
        <f>Calculation!U$32</f>
        <v>FY 2033-34</v>
      </c>
      <c r="U110" s="260" t="str">
        <f>Calculation!V$32</f>
        <v>FY 2034-35</v>
      </c>
      <c r="V110" s="260" t="str">
        <f>Calculation!W$32</f>
        <v>FY 2035-36</v>
      </c>
      <c r="W110" s="260" t="str">
        <f>Calculation!X$32</f>
        <v>FY 2036-37</v>
      </c>
      <c r="X110" s="260" t="str">
        <f>Calculation!Y$32</f>
        <v>FY 2037-38</v>
      </c>
      <c r="Y110" s="260" t="str">
        <f>Calculation!Z$32</f>
        <v>FY 2038-39</v>
      </c>
      <c r="Z110" s="260" t="str">
        <f>Calculation!AA$32</f>
        <v>FY 2039-40</v>
      </c>
      <c r="AA110" s="260" t="str">
        <f>Calculation!AB$32</f>
        <v>FY 2040-41</v>
      </c>
      <c r="AB110" s="260" t="str">
        <f>Calculation!AC$32</f>
        <v>FY 2041-42</v>
      </c>
      <c r="AC110" s="260" t="str">
        <f>Calculation!AD$32</f>
        <v>FY 2042-43</v>
      </c>
      <c r="AD110" s="260" t="str">
        <f>Calculation!AE$32</f>
        <v>FY 2043-44</v>
      </c>
      <c r="AE110" s="260" t="str">
        <f>Calculation!AF$32</f>
        <v>FY 2044-45</v>
      </c>
      <c r="AF110" s="260" t="str">
        <f>Calculation!AG$32</f>
        <v>FY 2045-46</v>
      </c>
      <c r="AG110" s="260" t="str">
        <f>Calculation!AH$32</f>
        <v>FY 2046-47</v>
      </c>
      <c r="AH110" s="260" t="str">
        <f>Calculation!AI$32</f>
        <v>FY 2047-48</v>
      </c>
      <c r="AI110" s="260" t="str">
        <f>Calculation!AJ$32</f>
        <v>FY 2048-49</v>
      </c>
      <c r="AJ110" s="208"/>
      <c r="AK110" s="208"/>
      <c r="AL110" s="208"/>
      <c r="AM110" s="208"/>
      <c r="AN110" s="208"/>
      <c r="AO110" s="208"/>
      <c r="AP110" s="208"/>
      <c r="AQ110" s="208"/>
      <c r="AR110" s="208"/>
      <c r="AS110" s="208"/>
      <c r="AT110" s="208"/>
      <c r="AU110" s="208"/>
      <c r="AV110" s="208"/>
      <c r="AW110" s="208"/>
      <c r="AX110" s="208"/>
      <c r="AY110" s="208"/>
      <c r="AZ110" s="208"/>
      <c r="BA110" s="208"/>
      <c r="BB110" s="208"/>
      <c r="BC110" s="208"/>
      <c r="BD110" s="208"/>
      <c r="BE110" s="208"/>
      <c r="BF110" s="208"/>
      <c r="BG110" s="208"/>
      <c r="BH110" s="208"/>
      <c r="BI110" s="208"/>
      <c r="BJ110" s="208"/>
      <c r="BK110" s="208"/>
      <c r="BL110" s="208"/>
      <c r="BM110" s="208"/>
      <c r="BN110" s="208"/>
      <c r="BO110" s="208"/>
      <c r="BP110" s="208"/>
      <c r="BQ110" s="208"/>
      <c r="BR110" s="208"/>
      <c r="BS110" s="208"/>
      <c r="BT110" s="208"/>
      <c r="BU110" s="208"/>
      <c r="BV110" s="208"/>
      <c r="BW110" s="208"/>
      <c r="BX110" s="208"/>
      <c r="BY110" s="208"/>
      <c r="BZ110" s="208"/>
      <c r="CA110" s="208"/>
      <c r="CB110" s="208"/>
      <c r="CC110" s="208"/>
      <c r="CD110" s="208"/>
      <c r="CE110" s="208"/>
      <c r="CF110" s="208"/>
      <c r="CG110" s="208"/>
      <c r="CH110" s="208"/>
      <c r="CI110" s="208"/>
      <c r="CJ110" s="208"/>
      <c r="CK110" s="208"/>
      <c r="CL110" s="208"/>
      <c r="CM110" s="208"/>
      <c r="CN110" s="208"/>
      <c r="CO110" s="208"/>
      <c r="CP110" s="208"/>
      <c r="CQ110" s="208"/>
      <c r="CR110" s="208"/>
      <c r="CS110" s="208"/>
    </row>
    <row r="111" spans="1:97" x14ac:dyDescent="0.25">
      <c r="B111" s="220">
        <f>+'Option inputs'!$B$14</f>
        <v>0</v>
      </c>
      <c r="C111" s="261" t="str">
        <f>'Option inputs'!$C$14</f>
        <v>Base case</v>
      </c>
      <c r="D111" s="218"/>
      <c r="E111" s="220" t="s">
        <v>35</v>
      </c>
      <c r="F111" s="254">
        <v>0</v>
      </c>
      <c r="G111" s="254">
        <v>2723036308.0732217</v>
      </c>
      <c r="H111" s="254">
        <v>2554118680.6260853</v>
      </c>
      <c r="I111" s="254">
        <v>2502623582.4552183</v>
      </c>
      <c r="J111" s="254">
        <v>2582621348.631228</v>
      </c>
      <c r="K111" s="254">
        <v>2465397329.3526926</v>
      </c>
      <c r="L111" s="254">
        <v>2376300636.2711153</v>
      </c>
      <c r="M111" s="254">
        <v>2247618173.476511</v>
      </c>
      <c r="N111" s="254">
        <v>2243269486.7234783</v>
      </c>
      <c r="O111" s="254">
        <v>2147952165.5668988</v>
      </c>
      <c r="P111" s="254">
        <v>1979699579.0628684</v>
      </c>
      <c r="Q111" s="254">
        <v>1981341271.7709792</v>
      </c>
      <c r="R111" s="254">
        <v>1887426410.6960881</v>
      </c>
      <c r="S111" s="254">
        <v>2017989687.3893104</v>
      </c>
      <c r="T111" s="254">
        <v>2048133636.8732588</v>
      </c>
      <c r="U111" s="254">
        <v>1796091988.005388</v>
      </c>
      <c r="V111" s="254">
        <v>1973046211.9853899</v>
      </c>
      <c r="W111" s="254">
        <v>2012964202.115593</v>
      </c>
      <c r="X111" s="254">
        <v>1918458981.3743467</v>
      </c>
      <c r="Y111" s="254">
        <v>1901416909.8629584</v>
      </c>
      <c r="Z111" s="254">
        <v>1775198000.912684</v>
      </c>
      <c r="AA111" s="254">
        <v>1526142565.0981557</v>
      </c>
      <c r="AB111" s="254">
        <v>1690893660.1451204</v>
      </c>
      <c r="AC111" s="254">
        <v>1409126202.4253867</v>
      </c>
      <c r="AD111" s="254">
        <v>1591202613.3454645</v>
      </c>
      <c r="AE111" s="254">
        <v>1472179805.2464838</v>
      </c>
      <c r="AF111" s="254"/>
      <c r="AG111" s="254"/>
      <c r="AH111" s="254"/>
      <c r="AI111" s="254"/>
      <c r="AJ111" s="262"/>
      <c r="AK111" s="262"/>
      <c r="AL111" s="262"/>
      <c r="AM111" s="262"/>
      <c r="AN111" s="262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62"/>
      <c r="BH111" s="262"/>
      <c r="BI111" s="262"/>
      <c r="BJ111" s="262"/>
      <c r="BK111" s="262"/>
      <c r="BL111" s="262"/>
      <c r="BM111" s="262"/>
      <c r="BN111" s="262"/>
      <c r="BO111" s="208"/>
      <c r="BP111" s="208"/>
      <c r="BQ111" s="208"/>
      <c r="BR111" s="208"/>
      <c r="BS111" s="208"/>
      <c r="BT111" s="208"/>
      <c r="BU111" s="208"/>
      <c r="BV111" s="208"/>
      <c r="BW111" s="208"/>
      <c r="BX111" s="208"/>
      <c r="BY111" s="208"/>
      <c r="BZ111" s="208"/>
      <c r="CA111" s="208"/>
      <c r="CB111" s="208"/>
      <c r="CC111" s="208"/>
      <c r="CD111" s="208"/>
      <c r="CE111" s="208"/>
      <c r="CF111" s="208"/>
      <c r="CG111" s="208"/>
      <c r="CH111" s="208"/>
      <c r="CI111" s="208"/>
      <c r="CJ111" s="208"/>
      <c r="CK111" s="208"/>
      <c r="CL111" s="208"/>
      <c r="CM111" s="208"/>
      <c r="CN111" s="208"/>
      <c r="CO111" s="208"/>
      <c r="CP111" s="208"/>
      <c r="CQ111" s="208"/>
      <c r="CR111" s="208"/>
      <c r="CS111" s="208"/>
    </row>
    <row r="112" spans="1:97" x14ac:dyDescent="0.25">
      <c r="B112" s="220">
        <f>+'Option inputs'!$B$15</f>
        <v>1</v>
      </c>
      <c r="C112" s="263" t="str">
        <f>'Option inputs'!$C$15</f>
        <v>Option 1A</v>
      </c>
      <c r="D112" s="218"/>
      <c r="E112" s="220" t="s">
        <v>35</v>
      </c>
      <c r="F112" s="254">
        <v>0</v>
      </c>
      <c r="G112" s="254">
        <v>2723036525.0486336</v>
      </c>
      <c r="H112" s="254">
        <v>2554207789.1397095</v>
      </c>
      <c r="I112" s="254">
        <v>2501857181.7260714</v>
      </c>
      <c r="J112" s="254">
        <v>2580419100.8369226</v>
      </c>
      <c r="K112" s="254">
        <v>2464551279.3794503</v>
      </c>
      <c r="L112" s="254">
        <v>2376541802.658978</v>
      </c>
      <c r="M112" s="254">
        <v>2247219863.0560646</v>
      </c>
      <c r="N112" s="254">
        <v>2240803436.0427651</v>
      </c>
      <c r="O112" s="254">
        <v>2144837631.8989999</v>
      </c>
      <c r="P112" s="254">
        <v>1978334848.7462487</v>
      </c>
      <c r="Q112" s="254">
        <v>1977958800.0330014</v>
      </c>
      <c r="R112" s="254">
        <v>1878520067.2323163</v>
      </c>
      <c r="S112" s="254">
        <v>2008904195.5322502</v>
      </c>
      <c r="T112" s="254">
        <v>2032500348.8281934</v>
      </c>
      <c r="U112" s="254">
        <v>1799412567.2924848</v>
      </c>
      <c r="V112" s="254">
        <v>1966756866.1056001</v>
      </c>
      <c r="W112" s="254">
        <v>2010916579.8204792</v>
      </c>
      <c r="X112" s="254">
        <v>1908966846.4425454</v>
      </c>
      <c r="Y112" s="254">
        <v>1894373109.0998127</v>
      </c>
      <c r="Z112" s="254">
        <v>1757688964.7463112</v>
      </c>
      <c r="AA112" s="254">
        <v>1511471806.6703055</v>
      </c>
      <c r="AB112" s="254">
        <v>1669098262.3597443</v>
      </c>
      <c r="AC112" s="254">
        <v>1388150215.6112962</v>
      </c>
      <c r="AD112" s="254">
        <v>1561739938.7651231</v>
      </c>
      <c r="AE112" s="254">
        <v>1448513536.1315553</v>
      </c>
      <c r="AF112" s="254"/>
      <c r="AG112" s="254"/>
      <c r="AH112" s="254"/>
      <c r="AI112" s="254"/>
      <c r="AJ112" s="262"/>
      <c r="AK112" s="262"/>
      <c r="AL112" s="262"/>
      <c r="AM112" s="262"/>
      <c r="AN112" s="262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62"/>
      <c r="BH112" s="262"/>
      <c r="BI112" s="262"/>
      <c r="BJ112" s="262"/>
      <c r="BK112" s="262"/>
      <c r="BL112" s="262"/>
      <c r="BM112" s="262"/>
      <c r="BN112" s="262"/>
      <c r="BO112" s="208"/>
      <c r="BP112" s="208"/>
      <c r="BQ112" s="208"/>
      <c r="BR112" s="208"/>
      <c r="BS112" s="208"/>
      <c r="BT112" s="208"/>
      <c r="BU112" s="208"/>
      <c r="BV112" s="208"/>
      <c r="BW112" s="208"/>
      <c r="BX112" s="208"/>
      <c r="BY112" s="208"/>
      <c r="BZ112" s="208"/>
      <c r="CA112" s="208"/>
      <c r="CB112" s="208"/>
      <c r="CC112" s="208"/>
      <c r="CD112" s="208"/>
      <c r="CE112" s="208"/>
      <c r="CF112" s="208"/>
      <c r="CG112" s="208"/>
      <c r="CH112" s="208"/>
      <c r="CI112" s="208"/>
      <c r="CJ112" s="208"/>
      <c r="CK112" s="208"/>
      <c r="CL112" s="208"/>
      <c r="CM112" s="208"/>
      <c r="CN112" s="208"/>
      <c r="CO112" s="208"/>
      <c r="CP112" s="208"/>
      <c r="CQ112" s="208"/>
      <c r="CR112" s="208"/>
      <c r="CS112" s="208"/>
    </row>
    <row r="113" spans="2:97" x14ac:dyDescent="0.25">
      <c r="B113" s="220">
        <f>+'Option inputs'!$B$16</f>
        <v>2</v>
      </c>
      <c r="C113" s="263" t="str">
        <f>'Option inputs'!$C$16</f>
        <v>Option 1B</v>
      </c>
      <c r="D113" s="218"/>
      <c r="E113" s="220" t="s">
        <v>35</v>
      </c>
      <c r="F113" s="254">
        <v>0</v>
      </c>
      <c r="G113" s="254">
        <v>2723036348.7538958</v>
      </c>
      <c r="H113" s="254">
        <v>2554136159.3383918</v>
      </c>
      <c r="I113" s="254">
        <v>2504569403.3426642</v>
      </c>
      <c r="J113" s="254">
        <v>2583733164.7393222</v>
      </c>
      <c r="K113" s="254">
        <v>2464263344.4164882</v>
      </c>
      <c r="L113" s="254">
        <v>2375865978.2823014</v>
      </c>
      <c r="M113" s="254">
        <v>2247280951.4080772</v>
      </c>
      <c r="N113" s="254">
        <v>2241040593.2261539</v>
      </c>
      <c r="O113" s="254">
        <v>2147125237.1656597</v>
      </c>
      <c r="P113" s="254">
        <v>1979749069.8901155</v>
      </c>
      <c r="Q113" s="254">
        <v>1979329486.3042431</v>
      </c>
      <c r="R113" s="254">
        <v>1880075277.4484112</v>
      </c>
      <c r="S113" s="254">
        <v>2008526532.5510135</v>
      </c>
      <c r="T113" s="254">
        <v>2042681765.3454878</v>
      </c>
      <c r="U113" s="254">
        <v>1794178426.165513</v>
      </c>
      <c r="V113" s="254">
        <v>1965101191.2124157</v>
      </c>
      <c r="W113" s="254">
        <v>2006986745.6236644</v>
      </c>
      <c r="X113" s="254">
        <v>1910795276.8734426</v>
      </c>
      <c r="Y113" s="254">
        <v>1896844879.0010986</v>
      </c>
      <c r="Z113" s="254">
        <v>1763448293.0754657</v>
      </c>
      <c r="AA113" s="254">
        <v>1509806406.7785635</v>
      </c>
      <c r="AB113" s="254">
        <v>1678123506.8914204</v>
      </c>
      <c r="AC113" s="254">
        <v>1390098031.9522519</v>
      </c>
      <c r="AD113" s="254">
        <v>1562993882.1410322</v>
      </c>
      <c r="AE113" s="254">
        <v>1451682149.0307741</v>
      </c>
      <c r="AF113" s="254"/>
      <c r="AG113" s="254"/>
      <c r="AH113" s="254"/>
      <c r="AI113" s="254"/>
      <c r="AJ113" s="262"/>
      <c r="AK113" s="262"/>
      <c r="AL113" s="262"/>
      <c r="AM113" s="262"/>
      <c r="AN113" s="262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62"/>
      <c r="BH113" s="262"/>
      <c r="BI113" s="262"/>
      <c r="BJ113" s="262"/>
      <c r="BK113" s="262"/>
      <c r="BL113" s="262"/>
      <c r="BM113" s="262"/>
      <c r="BN113" s="262"/>
      <c r="BO113" s="208"/>
      <c r="BP113" s="208"/>
      <c r="BQ113" s="208"/>
      <c r="BR113" s="208"/>
      <c r="BS113" s="208"/>
      <c r="BT113" s="208"/>
      <c r="BU113" s="208"/>
      <c r="BV113" s="208"/>
      <c r="BW113" s="208"/>
      <c r="BX113" s="208"/>
      <c r="BY113" s="208"/>
      <c r="BZ113" s="208"/>
      <c r="CA113" s="208"/>
      <c r="CB113" s="208"/>
      <c r="CC113" s="208"/>
      <c r="CD113" s="208"/>
      <c r="CE113" s="208"/>
      <c r="CF113" s="208"/>
      <c r="CG113" s="208"/>
      <c r="CH113" s="208"/>
      <c r="CI113" s="208"/>
      <c r="CJ113" s="208"/>
      <c r="CK113" s="208"/>
      <c r="CL113" s="208"/>
      <c r="CM113" s="208"/>
      <c r="CN113" s="208"/>
      <c r="CO113" s="208"/>
      <c r="CP113" s="208"/>
      <c r="CQ113" s="208"/>
      <c r="CR113" s="208"/>
      <c r="CS113" s="208"/>
    </row>
    <row r="114" spans="2:97" x14ac:dyDescent="0.25">
      <c r="B114" s="220">
        <f>+'Option inputs'!$B$17</f>
        <v>3</v>
      </c>
      <c r="C114" s="263" t="str">
        <f>'Option inputs'!$C$17</f>
        <v>Option 1C</v>
      </c>
      <c r="D114" s="218"/>
      <c r="E114" s="220" t="s">
        <v>35</v>
      </c>
      <c r="F114" s="254">
        <v>0</v>
      </c>
      <c r="G114" s="254">
        <v>2723036309.6757069</v>
      </c>
      <c r="H114" s="254">
        <v>2554100297.2885218</v>
      </c>
      <c r="I114" s="254">
        <v>2495108125.9853382</v>
      </c>
      <c r="J114" s="254">
        <v>2574399522.2871995</v>
      </c>
      <c r="K114" s="254">
        <v>2465442860.1218543</v>
      </c>
      <c r="L114" s="254">
        <v>2377178500.7110076</v>
      </c>
      <c r="M114" s="254">
        <v>2248213097.9313765</v>
      </c>
      <c r="N114" s="254">
        <v>2243986247.3787093</v>
      </c>
      <c r="O114" s="254">
        <v>2148194416.7520628</v>
      </c>
      <c r="P114" s="254">
        <v>1977578349.6509774</v>
      </c>
      <c r="Q114" s="254">
        <v>1980088947.6168628</v>
      </c>
      <c r="R114" s="254">
        <v>1884820221.4151294</v>
      </c>
      <c r="S114" s="254">
        <v>2016933332.8702025</v>
      </c>
      <c r="T114" s="254">
        <v>2039819072.0759361</v>
      </c>
      <c r="U114" s="254">
        <v>1801634343.4410067</v>
      </c>
      <c r="V114" s="254">
        <v>1973840632.1950107</v>
      </c>
      <c r="W114" s="254">
        <v>2017177847.2826521</v>
      </c>
      <c r="X114" s="254">
        <v>1917686736.4958031</v>
      </c>
      <c r="Y114" s="254">
        <v>1901456887.6413398</v>
      </c>
      <c r="Z114" s="254">
        <v>1769590885.8035831</v>
      </c>
      <c r="AA114" s="254">
        <v>1527711398.6077905</v>
      </c>
      <c r="AB114" s="254">
        <v>1687962077.6019254</v>
      </c>
      <c r="AC114" s="254">
        <v>1407300282.0765455</v>
      </c>
      <c r="AD114" s="254">
        <v>1593413495.3264716</v>
      </c>
      <c r="AE114" s="254">
        <v>1471922126.6214702</v>
      </c>
      <c r="AF114" s="254"/>
      <c r="AG114" s="254"/>
      <c r="AH114" s="254"/>
      <c r="AI114" s="254"/>
      <c r="AJ114" s="262"/>
      <c r="AK114" s="262"/>
      <c r="AL114" s="262"/>
      <c r="AM114" s="262"/>
      <c r="AN114" s="262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62"/>
      <c r="BH114" s="262"/>
      <c r="BI114" s="262"/>
      <c r="BJ114" s="262"/>
      <c r="BK114" s="262"/>
      <c r="BL114" s="262"/>
      <c r="BM114" s="262"/>
      <c r="BN114" s="262"/>
      <c r="BO114" s="208"/>
      <c r="BP114" s="208"/>
      <c r="BQ114" s="208"/>
      <c r="BR114" s="208"/>
      <c r="BS114" s="208"/>
      <c r="BT114" s="208"/>
      <c r="BU114" s="208"/>
      <c r="BV114" s="208"/>
      <c r="BW114" s="208"/>
      <c r="BX114" s="208"/>
      <c r="BY114" s="208"/>
      <c r="BZ114" s="208"/>
      <c r="CA114" s="208"/>
      <c r="CB114" s="208"/>
      <c r="CC114" s="208"/>
      <c r="CD114" s="208"/>
      <c r="CE114" s="208"/>
      <c r="CF114" s="208"/>
      <c r="CG114" s="208"/>
      <c r="CH114" s="208"/>
      <c r="CI114" s="208"/>
      <c r="CJ114" s="208"/>
      <c r="CK114" s="208"/>
      <c r="CL114" s="208"/>
      <c r="CM114" s="208"/>
      <c r="CN114" s="208"/>
      <c r="CO114" s="208"/>
      <c r="CP114" s="208"/>
      <c r="CQ114" s="208"/>
      <c r="CR114" s="208"/>
      <c r="CS114" s="208"/>
    </row>
    <row r="115" spans="2:97" x14ac:dyDescent="0.25">
      <c r="B115" s="220">
        <f>+'Option inputs'!$B$18</f>
        <v>4</v>
      </c>
      <c r="C115" s="263" t="str">
        <f>'Option inputs'!$C$18</f>
        <v>Option 1D</v>
      </c>
      <c r="D115" s="218"/>
      <c r="E115" s="220" t="s">
        <v>35</v>
      </c>
      <c r="F115" s="254">
        <v>0</v>
      </c>
      <c r="G115" s="254">
        <v>2723036359.5579605</v>
      </c>
      <c r="H115" s="254">
        <v>2554107499.5689039</v>
      </c>
      <c r="I115" s="254">
        <v>2496781109.0761709</v>
      </c>
      <c r="J115" s="254">
        <v>2575897381.570662</v>
      </c>
      <c r="K115" s="254">
        <v>2466099339.0928531</v>
      </c>
      <c r="L115" s="254">
        <v>2376997178.2130404</v>
      </c>
      <c r="M115" s="254">
        <v>2248279493.6502967</v>
      </c>
      <c r="N115" s="254">
        <v>2243982089.4139228</v>
      </c>
      <c r="O115" s="254">
        <v>2148196998.3673291</v>
      </c>
      <c r="P115" s="254">
        <v>1978176784.596586</v>
      </c>
      <c r="Q115" s="254">
        <v>1980483721.0980039</v>
      </c>
      <c r="R115" s="254">
        <v>1884236098.7415884</v>
      </c>
      <c r="S115" s="254">
        <v>2017532478.0833669</v>
      </c>
      <c r="T115" s="254">
        <v>2044331622.5882239</v>
      </c>
      <c r="U115" s="254">
        <v>1795754680.2426622</v>
      </c>
      <c r="V115" s="254">
        <v>1972419717.4130399</v>
      </c>
      <c r="W115" s="254">
        <v>2014699316.7454765</v>
      </c>
      <c r="X115" s="254">
        <v>1917575076.0868888</v>
      </c>
      <c r="Y115" s="254">
        <v>1902403419.8998444</v>
      </c>
      <c r="Z115" s="254">
        <v>1773082555.0846574</v>
      </c>
      <c r="AA115" s="254">
        <v>1526513858.6089044</v>
      </c>
      <c r="AB115" s="254">
        <v>1688767748.3609564</v>
      </c>
      <c r="AC115" s="254">
        <v>1408322415.2219462</v>
      </c>
      <c r="AD115" s="254">
        <v>1592027298.6121604</v>
      </c>
      <c r="AE115" s="254">
        <v>1471617952.7539713</v>
      </c>
      <c r="AF115" s="254"/>
      <c r="AG115" s="254"/>
      <c r="AH115" s="254"/>
      <c r="AI115" s="254"/>
      <c r="AJ115" s="262"/>
      <c r="AK115" s="262"/>
      <c r="AL115" s="262"/>
      <c r="AM115" s="262"/>
      <c r="AN115" s="262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62"/>
      <c r="BH115" s="262"/>
      <c r="BI115" s="262"/>
      <c r="BJ115" s="262"/>
      <c r="BK115" s="262"/>
      <c r="BL115" s="262"/>
      <c r="BM115" s="262"/>
      <c r="BN115" s="262"/>
      <c r="BO115" s="208"/>
      <c r="BP115" s="208"/>
      <c r="BQ115" s="208"/>
      <c r="BR115" s="208"/>
      <c r="BS115" s="208"/>
      <c r="BT115" s="208"/>
      <c r="BU115" s="208"/>
      <c r="BV115" s="208"/>
      <c r="BW115" s="208"/>
      <c r="BX115" s="208"/>
      <c r="BY115" s="208"/>
      <c r="BZ115" s="208"/>
      <c r="CA115" s="208"/>
      <c r="CB115" s="208"/>
      <c r="CC115" s="208"/>
      <c r="CD115" s="208"/>
      <c r="CE115" s="208"/>
      <c r="CF115" s="208"/>
      <c r="CG115" s="208"/>
      <c r="CH115" s="208"/>
      <c r="CI115" s="208"/>
      <c r="CJ115" s="208"/>
      <c r="CK115" s="208"/>
      <c r="CL115" s="208"/>
      <c r="CM115" s="208"/>
      <c r="CN115" s="208"/>
      <c r="CO115" s="208"/>
      <c r="CP115" s="208"/>
      <c r="CQ115" s="208"/>
      <c r="CR115" s="208"/>
      <c r="CS115" s="208"/>
    </row>
    <row r="116" spans="2:97" x14ac:dyDescent="0.25">
      <c r="E116" s="215"/>
      <c r="AF116" s="207"/>
      <c r="AG116" s="207"/>
      <c r="AH116" s="207"/>
      <c r="AI116" s="207"/>
      <c r="AJ116" s="208"/>
      <c r="AK116" s="208"/>
      <c r="AL116" s="208"/>
      <c r="AM116" s="208"/>
      <c r="AN116" s="208"/>
      <c r="AO116" s="208"/>
      <c r="AP116" s="208"/>
      <c r="AQ116" s="208"/>
      <c r="AR116" s="208"/>
      <c r="AS116" s="208"/>
      <c r="AT116" s="208"/>
      <c r="AU116" s="208"/>
      <c r="AV116" s="208"/>
      <c r="AW116" s="208"/>
      <c r="AX116" s="208"/>
      <c r="AY116" s="208"/>
      <c r="AZ116" s="208"/>
      <c r="BA116" s="208"/>
      <c r="BB116" s="208"/>
      <c r="BC116" s="208"/>
      <c r="BD116" s="208"/>
      <c r="BE116" s="208"/>
      <c r="BF116" s="208"/>
      <c r="BG116" s="208"/>
      <c r="BH116" s="208"/>
      <c r="BI116" s="208"/>
      <c r="BJ116" s="208"/>
      <c r="BK116" s="208"/>
      <c r="BL116" s="208"/>
      <c r="BM116" s="208"/>
      <c r="BN116" s="208"/>
      <c r="BO116" s="208"/>
      <c r="BP116" s="208"/>
      <c r="BQ116" s="208"/>
      <c r="BR116" s="208"/>
      <c r="BS116" s="208"/>
      <c r="BT116" s="208"/>
      <c r="BU116" s="208"/>
      <c r="BV116" s="208"/>
      <c r="BW116" s="208"/>
      <c r="BX116" s="208"/>
      <c r="BY116" s="208"/>
      <c r="BZ116" s="208"/>
      <c r="CA116" s="208"/>
      <c r="CB116" s="208"/>
      <c r="CC116" s="208"/>
      <c r="CD116" s="208"/>
      <c r="CE116" s="208"/>
      <c r="CF116" s="208"/>
      <c r="CG116" s="208"/>
      <c r="CH116" s="208"/>
      <c r="CI116" s="208"/>
      <c r="CJ116" s="208"/>
      <c r="CK116" s="208"/>
      <c r="CL116" s="208"/>
      <c r="CM116" s="208"/>
      <c r="CN116" s="208"/>
      <c r="CO116" s="208"/>
      <c r="CP116" s="208"/>
      <c r="CQ116" s="208"/>
      <c r="CR116" s="208"/>
      <c r="CS116" s="208"/>
    </row>
    <row r="117" spans="2:97" ht="13" x14ac:dyDescent="0.3">
      <c r="B117" s="165" t="s">
        <v>14</v>
      </c>
      <c r="C117" s="216" t="s">
        <v>13</v>
      </c>
      <c r="D117" s="165" t="s">
        <v>86</v>
      </c>
      <c r="E117" s="217" t="s">
        <v>7</v>
      </c>
      <c r="F117" s="260" t="str">
        <f>Calculation!G$32</f>
        <v>FY 2019-20</v>
      </c>
      <c r="G117" s="260" t="str">
        <f>Calculation!H$32</f>
        <v>FY 2020-21</v>
      </c>
      <c r="H117" s="260" t="str">
        <f>Calculation!I$32</f>
        <v>FY 2021-22</v>
      </c>
      <c r="I117" s="260" t="str">
        <f>Calculation!J$32</f>
        <v>FY 2022-23</v>
      </c>
      <c r="J117" s="260" t="str">
        <f>Calculation!K$32</f>
        <v>FY 2023-24</v>
      </c>
      <c r="K117" s="260" t="str">
        <f>Calculation!L$32</f>
        <v>FY 2024-25</v>
      </c>
      <c r="L117" s="260" t="str">
        <f>Calculation!M$32</f>
        <v>FY 2025-26</v>
      </c>
      <c r="M117" s="260" t="str">
        <f>Calculation!N$32</f>
        <v>FY 2026-27</v>
      </c>
      <c r="N117" s="260" t="str">
        <f>Calculation!O$32</f>
        <v>FY 2027-28</v>
      </c>
      <c r="O117" s="260" t="str">
        <f>Calculation!P$32</f>
        <v>FY 2028-29</v>
      </c>
      <c r="P117" s="260" t="str">
        <f>Calculation!Q$32</f>
        <v>FY 2029-30</v>
      </c>
      <c r="Q117" s="260" t="str">
        <f>Calculation!R$32</f>
        <v>FY 2030-31</v>
      </c>
      <c r="R117" s="260" t="str">
        <f>Calculation!S$32</f>
        <v>FY 2031-32</v>
      </c>
      <c r="S117" s="260" t="str">
        <f>Calculation!T$32</f>
        <v>FY 2032-33</v>
      </c>
      <c r="T117" s="260" t="str">
        <f>Calculation!U$32</f>
        <v>FY 2033-34</v>
      </c>
      <c r="U117" s="260" t="str">
        <f>Calculation!V$32</f>
        <v>FY 2034-35</v>
      </c>
      <c r="V117" s="260" t="str">
        <f>Calculation!W$32</f>
        <v>FY 2035-36</v>
      </c>
      <c r="W117" s="260" t="str">
        <f>Calculation!X$32</f>
        <v>FY 2036-37</v>
      </c>
      <c r="X117" s="260" t="str">
        <f>Calculation!Y$32</f>
        <v>FY 2037-38</v>
      </c>
      <c r="Y117" s="260" t="str">
        <f>Calculation!Z$32</f>
        <v>FY 2038-39</v>
      </c>
      <c r="Z117" s="260" t="str">
        <f>Calculation!AA$32</f>
        <v>FY 2039-40</v>
      </c>
      <c r="AA117" s="260" t="str">
        <f>Calculation!AB$32</f>
        <v>FY 2040-41</v>
      </c>
      <c r="AB117" s="260" t="str">
        <f>Calculation!AC$32</f>
        <v>FY 2041-42</v>
      </c>
      <c r="AC117" s="260" t="str">
        <f>Calculation!AD$32</f>
        <v>FY 2042-43</v>
      </c>
      <c r="AD117" s="260" t="str">
        <f>Calculation!AE$32</f>
        <v>FY 2043-44</v>
      </c>
      <c r="AE117" s="260" t="str">
        <f>Calculation!AF$32</f>
        <v>FY 2044-45</v>
      </c>
      <c r="AF117" s="260" t="str">
        <f>Calculation!AG$32</f>
        <v>FY 2045-46</v>
      </c>
      <c r="AG117" s="260" t="str">
        <f>Calculation!AH$32</f>
        <v>FY 2046-47</v>
      </c>
      <c r="AH117" s="260" t="str">
        <f>Calculation!AI$32</f>
        <v>FY 2047-48</v>
      </c>
      <c r="AI117" s="260" t="str">
        <f>Calculation!AJ$32</f>
        <v>FY 2048-49</v>
      </c>
      <c r="AJ117" s="208"/>
      <c r="AK117" s="208"/>
      <c r="AL117" s="208"/>
      <c r="AM117" s="208"/>
      <c r="AN117" s="208"/>
      <c r="AO117" s="208"/>
      <c r="AP117" s="208"/>
      <c r="AQ117" s="208"/>
      <c r="AR117" s="208"/>
      <c r="AS117" s="208"/>
      <c r="AT117" s="208"/>
      <c r="AU117" s="208"/>
      <c r="AV117" s="208"/>
      <c r="AW117" s="208"/>
      <c r="AX117" s="208"/>
      <c r="AY117" s="208"/>
      <c r="AZ117" s="208"/>
      <c r="BA117" s="208"/>
      <c r="BB117" s="208"/>
      <c r="BC117" s="208"/>
      <c r="BD117" s="208"/>
      <c r="BE117" s="208"/>
      <c r="BF117" s="208"/>
      <c r="BG117" s="208"/>
      <c r="BH117" s="208"/>
      <c r="BI117" s="208"/>
      <c r="BJ117" s="208"/>
      <c r="BK117" s="208"/>
      <c r="BL117" s="208"/>
      <c r="BM117" s="208"/>
      <c r="BN117" s="208"/>
      <c r="BO117" s="208"/>
      <c r="BP117" s="208"/>
      <c r="BQ117" s="208"/>
      <c r="BR117" s="208"/>
      <c r="BS117" s="208"/>
      <c r="BT117" s="208"/>
      <c r="BU117" s="208"/>
      <c r="BV117" s="208"/>
      <c r="BW117" s="208"/>
      <c r="BX117" s="208"/>
      <c r="BY117" s="208"/>
      <c r="BZ117" s="208"/>
      <c r="CA117" s="208"/>
      <c r="CB117" s="208"/>
      <c r="CC117" s="208"/>
      <c r="CD117" s="208"/>
      <c r="CE117" s="208"/>
      <c r="CF117" s="208"/>
      <c r="CG117" s="208"/>
      <c r="CH117" s="208"/>
      <c r="CI117" s="208"/>
      <c r="CJ117" s="208"/>
      <c r="CK117" s="208"/>
      <c r="CL117" s="208"/>
      <c r="CM117" s="208"/>
      <c r="CN117" s="208"/>
      <c r="CO117" s="208"/>
      <c r="CP117" s="208"/>
      <c r="CQ117" s="208"/>
      <c r="CR117" s="208"/>
      <c r="CS117" s="208"/>
    </row>
    <row r="118" spans="2:97" x14ac:dyDescent="0.25">
      <c r="B118" s="220">
        <f>+'Option inputs'!$B$14</f>
        <v>0</v>
      </c>
      <c r="C118" s="261" t="str">
        <f>'Option inputs'!$C$14</f>
        <v>Base case</v>
      </c>
      <c r="D118" s="218"/>
      <c r="E118" s="220" t="s">
        <v>35</v>
      </c>
      <c r="F118" s="254">
        <v>0</v>
      </c>
      <c r="G118" s="254">
        <v>2599720768.4327269</v>
      </c>
      <c r="H118" s="254">
        <v>2361117061.8464093</v>
      </c>
      <c r="I118" s="254">
        <v>2279559419.7998199</v>
      </c>
      <c r="J118" s="254">
        <v>2195116914.7314577</v>
      </c>
      <c r="K118" s="254">
        <v>2249560467.1606045</v>
      </c>
      <c r="L118" s="254">
        <v>2205092881.7310371</v>
      </c>
      <c r="M118" s="254">
        <v>2150662182.2682409</v>
      </c>
      <c r="N118" s="254">
        <v>2330077284.0754676</v>
      </c>
      <c r="O118" s="254">
        <v>2138654762.0009089</v>
      </c>
      <c r="P118" s="254">
        <v>1966238654.4652991</v>
      </c>
      <c r="Q118" s="254">
        <v>1810412397.1720612</v>
      </c>
      <c r="R118" s="254">
        <v>1819322843.0867527</v>
      </c>
      <c r="S118" s="254">
        <v>1942314461.8850758</v>
      </c>
      <c r="T118" s="254">
        <v>1979040712.2383194</v>
      </c>
      <c r="U118" s="254">
        <v>1922157495.0798049</v>
      </c>
      <c r="V118" s="254">
        <v>2030792816.98701</v>
      </c>
      <c r="W118" s="254">
        <v>2079336668.9750335</v>
      </c>
      <c r="X118" s="254">
        <v>2198585349.2810216</v>
      </c>
      <c r="Y118" s="254">
        <v>2103418066.928756</v>
      </c>
      <c r="Z118" s="254">
        <v>2237795076.8375888</v>
      </c>
      <c r="AA118" s="254">
        <v>2290673467.9546566</v>
      </c>
      <c r="AB118" s="254">
        <v>2346975017.8073463</v>
      </c>
      <c r="AC118" s="254">
        <v>2132894739.1592352</v>
      </c>
      <c r="AD118" s="254">
        <v>2743364932.0370808</v>
      </c>
      <c r="AE118" s="254">
        <v>2787633325.4793663</v>
      </c>
      <c r="AF118" s="254"/>
      <c r="AG118" s="254"/>
      <c r="AH118" s="254"/>
      <c r="AI118" s="254"/>
      <c r="AJ118" s="262"/>
      <c r="AK118" s="262"/>
      <c r="AL118" s="262"/>
      <c r="AM118" s="262"/>
      <c r="AN118" s="262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62"/>
      <c r="BH118" s="262"/>
      <c r="BI118" s="262"/>
      <c r="BJ118" s="262"/>
      <c r="BK118" s="262"/>
      <c r="BL118" s="262"/>
      <c r="BM118" s="262"/>
      <c r="BN118" s="262"/>
      <c r="BO118" s="208"/>
      <c r="BP118" s="208"/>
      <c r="BQ118" s="208"/>
      <c r="BR118" s="208"/>
      <c r="BS118" s="208"/>
      <c r="BT118" s="208"/>
      <c r="BU118" s="208"/>
      <c r="BV118" s="208"/>
      <c r="BW118" s="208"/>
      <c r="BX118" s="208"/>
      <c r="BY118" s="208"/>
      <c r="BZ118" s="208"/>
      <c r="CA118" s="208"/>
      <c r="CB118" s="208"/>
      <c r="CC118" s="208"/>
      <c r="CD118" s="208"/>
      <c r="CE118" s="208"/>
      <c r="CF118" s="208"/>
      <c r="CG118" s="208"/>
      <c r="CH118" s="208"/>
      <c r="CI118" s="208"/>
      <c r="CJ118" s="208"/>
      <c r="CK118" s="208"/>
      <c r="CL118" s="208"/>
      <c r="CM118" s="208"/>
      <c r="CN118" s="208"/>
      <c r="CO118" s="208"/>
      <c r="CP118" s="208"/>
      <c r="CQ118" s="208"/>
      <c r="CR118" s="208"/>
      <c r="CS118" s="208"/>
    </row>
    <row r="119" spans="2:97" x14ac:dyDescent="0.25">
      <c r="B119" s="220">
        <f>+'Option inputs'!$B$15</f>
        <v>1</v>
      </c>
      <c r="C119" s="263" t="str">
        <f>'Option inputs'!$C$15</f>
        <v>Option 1A</v>
      </c>
      <c r="D119" s="218"/>
      <c r="E119" s="220" t="s">
        <v>35</v>
      </c>
      <c r="F119" s="254">
        <v>0</v>
      </c>
      <c r="G119" s="254">
        <v>2599720761.8947673</v>
      </c>
      <c r="H119" s="254">
        <v>2361131696.5907578</v>
      </c>
      <c r="I119" s="254">
        <v>2275319234.4007998</v>
      </c>
      <c r="J119" s="254">
        <v>2191204967.9875727</v>
      </c>
      <c r="K119" s="254">
        <v>2245080047.4137897</v>
      </c>
      <c r="L119" s="254">
        <v>2201022341.2266698</v>
      </c>
      <c r="M119" s="254">
        <v>2145536417.953321</v>
      </c>
      <c r="N119" s="254">
        <v>2324301263.2170243</v>
      </c>
      <c r="O119" s="254">
        <v>2136008215.2427912</v>
      </c>
      <c r="P119" s="254">
        <v>1967405732.7096925</v>
      </c>
      <c r="Q119" s="254">
        <v>1812512480.6818671</v>
      </c>
      <c r="R119" s="254">
        <v>1820448786.7823644</v>
      </c>
      <c r="S119" s="254">
        <v>1940281562.9474699</v>
      </c>
      <c r="T119" s="254">
        <v>1972671135.2840865</v>
      </c>
      <c r="U119" s="254">
        <v>1920475851.1648138</v>
      </c>
      <c r="V119" s="254">
        <v>2029476724.0031128</v>
      </c>
      <c r="W119" s="254">
        <v>2088192412.8488412</v>
      </c>
      <c r="X119" s="254">
        <v>2177188710.5188417</v>
      </c>
      <c r="Y119" s="254">
        <v>2095808042.321979</v>
      </c>
      <c r="Z119" s="254">
        <v>2222351075.8153129</v>
      </c>
      <c r="AA119" s="254">
        <v>2280723187.9927697</v>
      </c>
      <c r="AB119" s="254">
        <v>2330006974.2717428</v>
      </c>
      <c r="AC119" s="254">
        <v>2116768850.3085732</v>
      </c>
      <c r="AD119" s="254">
        <v>2724114991.1251116</v>
      </c>
      <c r="AE119" s="254">
        <v>2777126959.2309084</v>
      </c>
      <c r="AF119" s="254"/>
      <c r="AG119" s="254"/>
      <c r="AH119" s="254"/>
      <c r="AI119" s="254"/>
      <c r="AJ119" s="262"/>
      <c r="AK119" s="262"/>
      <c r="AL119" s="262"/>
      <c r="AM119" s="262"/>
      <c r="AN119" s="262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62"/>
      <c r="BH119" s="262"/>
      <c r="BI119" s="262"/>
      <c r="BJ119" s="262"/>
      <c r="BK119" s="262"/>
      <c r="BL119" s="262"/>
      <c r="BM119" s="262"/>
      <c r="BN119" s="262"/>
      <c r="BO119" s="208"/>
      <c r="BP119" s="208"/>
      <c r="BQ119" s="208"/>
      <c r="BR119" s="208"/>
      <c r="BS119" s="208"/>
      <c r="BT119" s="208"/>
      <c r="BU119" s="208"/>
      <c r="BV119" s="208"/>
      <c r="BW119" s="208"/>
      <c r="BX119" s="208"/>
      <c r="BY119" s="208"/>
      <c r="BZ119" s="208"/>
      <c r="CA119" s="208"/>
      <c r="CB119" s="208"/>
      <c r="CC119" s="208"/>
      <c r="CD119" s="208"/>
      <c r="CE119" s="208"/>
      <c r="CF119" s="208"/>
      <c r="CG119" s="208"/>
      <c r="CH119" s="208"/>
      <c r="CI119" s="208"/>
      <c r="CJ119" s="208"/>
      <c r="CK119" s="208"/>
      <c r="CL119" s="208"/>
      <c r="CM119" s="208"/>
      <c r="CN119" s="208"/>
      <c r="CO119" s="208"/>
      <c r="CP119" s="208"/>
      <c r="CQ119" s="208"/>
      <c r="CR119" s="208"/>
      <c r="CS119" s="208"/>
    </row>
    <row r="120" spans="2:97" x14ac:dyDescent="0.25">
      <c r="B120" s="220">
        <f>+'Option inputs'!$B$16</f>
        <v>2</v>
      </c>
      <c r="C120" s="263" t="str">
        <f>'Option inputs'!$C$16</f>
        <v>Option 1B</v>
      </c>
      <c r="D120" s="218"/>
      <c r="E120" s="220" t="s">
        <v>35</v>
      </c>
      <c r="F120" s="254">
        <v>0</v>
      </c>
      <c r="G120" s="254">
        <v>2599720772.2228479</v>
      </c>
      <c r="H120" s="254">
        <v>2361124547.7011127</v>
      </c>
      <c r="I120" s="254">
        <v>2275407719.2760506</v>
      </c>
      <c r="J120" s="254">
        <v>2191790309.0818567</v>
      </c>
      <c r="K120" s="254">
        <v>2245774554.4389</v>
      </c>
      <c r="L120" s="254">
        <v>2201531515.7638092</v>
      </c>
      <c r="M120" s="254">
        <v>2146501231.6299911</v>
      </c>
      <c r="N120" s="254">
        <v>2325985715.7725234</v>
      </c>
      <c r="O120" s="254">
        <v>2135684492.3145721</v>
      </c>
      <c r="P120" s="254">
        <v>1963878181.0544133</v>
      </c>
      <c r="Q120" s="254">
        <v>1808265277.845367</v>
      </c>
      <c r="R120" s="254">
        <v>1816813038.9785759</v>
      </c>
      <c r="S120" s="254">
        <v>1940117999.2582023</v>
      </c>
      <c r="T120" s="254">
        <v>1978064159.5811951</v>
      </c>
      <c r="U120" s="254">
        <v>1921203842.9980373</v>
      </c>
      <c r="V120" s="254">
        <v>2026814398.7567937</v>
      </c>
      <c r="W120" s="254">
        <v>2078926466.7490849</v>
      </c>
      <c r="X120" s="254">
        <v>2168046318.2064791</v>
      </c>
      <c r="Y120" s="254">
        <v>2074793700.6246364</v>
      </c>
      <c r="Z120" s="254">
        <v>2210599101.1394696</v>
      </c>
      <c r="AA120" s="254">
        <v>2274866077.5669627</v>
      </c>
      <c r="AB120" s="254">
        <v>2318141731.4479074</v>
      </c>
      <c r="AC120" s="254">
        <v>2102699356.1476486</v>
      </c>
      <c r="AD120" s="254">
        <v>2708568360.7686687</v>
      </c>
      <c r="AE120" s="254">
        <v>2761974476.6452518</v>
      </c>
      <c r="AF120" s="254"/>
      <c r="AG120" s="254"/>
      <c r="AH120" s="254"/>
      <c r="AI120" s="254"/>
      <c r="AJ120" s="262"/>
      <c r="AK120" s="262"/>
      <c r="AL120" s="262"/>
      <c r="AM120" s="262"/>
      <c r="AN120" s="262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62"/>
      <c r="BH120" s="262"/>
      <c r="BI120" s="262"/>
      <c r="BJ120" s="262"/>
      <c r="BK120" s="262"/>
      <c r="BL120" s="262"/>
      <c r="BM120" s="262"/>
      <c r="BN120" s="262"/>
      <c r="BO120" s="208"/>
      <c r="BP120" s="208"/>
      <c r="BQ120" s="208"/>
      <c r="BR120" s="208"/>
      <c r="BS120" s="208"/>
      <c r="BT120" s="208"/>
      <c r="BU120" s="208"/>
      <c r="BV120" s="208"/>
      <c r="BW120" s="208"/>
      <c r="BX120" s="208"/>
      <c r="BY120" s="208"/>
      <c r="BZ120" s="208"/>
      <c r="CA120" s="208"/>
      <c r="CB120" s="208"/>
      <c r="CC120" s="208"/>
      <c r="CD120" s="208"/>
      <c r="CE120" s="208"/>
      <c r="CF120" s="208"/>
      <c r="CG120" s="208"/>
      <c r="CH120" s="208"/>
      <c r="CI120" s="208"/>
      <c r="CJ120" s="208"/>
      <c r="CK120" s="208"/>
      <c r="CL120" s="208"/>
      <c r="CM120" s="208"/>
      <c r="CN120" s="208"/>
      <c r="CO120" s="208"/>
      <c r="CP120" s="208"/>
      <c r="CQ120" s="208"/>
      <c r="CR120" s="208"/>
      <c r="CS120" s="208"/>
    </row>
    <row r="121" spans="2:97" x14ac:dyDescent="0.25">
      <c r="B121" s="220">
        <f>+'Option inputs'!$B$17</f>
        <v>3</v>
      </c>
      <c r="C121" s="263" t="str">
        <f>'Option inputs'!$C$17</f>
        <v>Option 1C</v>
      </c>
      <c r="D121" s="218"/>
      <c r="E121" s="220" t="s">
        <v>35</v>
      </c>
      <c r="F121" s="254">
        <v>0</v>
      </c>
      <c r="G121" s="254">
        <v>2599720756.8393884</v>
      </c>
      <c r="H121" s="254">
        <v>2361113203.2557549</v>
      </c>
      <c r="I121" s="254">
        <v>2279489850.9994836</v>
      </c>
      <c r="J121" s="254">
        <v>2194497696.137486</v>
      </c>
      <c r="K121" s="254">
        <v>2248920346.3130059</v>
      </c>
      <c r="L121" s="254">
        <v>2204616478.592289</v>
      </c>
      <c r="M121" s="254">
        <v>2149776547.7813187</v>
      </c>
      <c r="N121" s="254">
        <v>2328354208.6825972</v>
      </c>
      <c r="O121" s="254">
        <v>2141069239.3503656</v>
      </c>
      <c r="P121" s="254">
        <v>1971403328.9283271</v>
      </c>
      <c r="Q121" s="254">
        <v>1816161115.4535458</v>
      </c>
      <c r="R121" s="254">
        <v>1824539313.9681919</v>
      </c>
      <c r="S121" s="254">
        <v>1943480077.5084376</v>
      </c>
      <c r="T121" s="254">
        <v>1975406214.3597002</v>
      </c>
      <c r="U121" s="254">
        <v>1923039012.3323352</v>
      </c>
      <c r="V121" s="254">
        <v>2035690258.6113532</v>
      </c>
      <c r="W121" s="254">
        <v>2087801547.775857</v>
      </c>
      <c r="X121" s="254">
        <v>2205654721.4517298</v>
      </c>
      <c r="Y121" s="254">
        <v>2117868419.5932961</v>
      </c>
      <c r="Z121" s="254">
        <v>2248345937.6268101</v>
      </c>
      <c r="AA121" s="254">
        <v>2300903707.0789499</v>
      </c>
      <c r="AB121" s="254">
        <v>2356911514.2379861</v>
      </c>
      <c r="AC121" s="254">
        <v>2144935824.3299313</v>
      </c>
      <c r="AD121" s="254">
        <v>2754518679.2491608</v>
      </c>
      <c r="AE121" s="254">
        <v>2807121292.3489451</v>
      </c>
      <c r="AF121" s="254"/>
      <c r="AG121" s="254"/>
      <c r="AH121" s="254"/>
      <c r="AI121" s="254"/>
      <c r="AJ121" s="262"/>
      <c r="AK121" s="262"/>
      <c r="AL121" s="262"/>
      <c r="AM121" s="262"/>
      <c r="AN121" s="262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62"/>
      <c r="BH121" s="262"/>
      <c r="BI121" s="262"/>
      <c r="BJ121" s="262"/>
      <c r="BK121" s="262"/>
      <c r="BL121" s="262"/>
      <c r="BM121" s="262"/>
      <c r="BN121" s="262"/>
      <c r="BO121" s="208"/>
      <c r="BP121" s="208"/>
      <c r="BQ121" s="208"/>
      <c r="BR121" s="208"/>
      <c r="BS121" s="208"/>
      <c r="BT121" s="208"/>
      <c r="BU121" s="208"/>
      <c r="BV121" s="208"/>
      <c r="BW121" s="208"/>
      <c r="BX121" s="208"/>
      <c r="BY121" s="208"/>
      <c r="BZ121" s="208"/>
      <c r="CA121" s="208"/>
      <c r="CB121" s="208"/>
      <c r="CC121" s="208"/>
      <c r="CD121" s="208"/>
      <c r="CE121" s="208"/>
      <c r="CF121" s="208"/>
      <c r="CG121" s="208"/>
      <c r="CH121" s="208"/>
      <c r="CI121" s="208"/>
      <c r="CJ121" s="208"/>
      <c r="CK121" s="208"/>
      <c r="CL121" s="208"/>
      <c r="CM121" s="208"/>
      <c r="CN121" s="208"/>
      <c r="CO121" s="208"/>
      <c r="CP121" s="208"/>
      <c r="CQ121" s="208"/>
      <c r="CR121" s="208"/>
      <c r="CS121" s="208"/>
    </row>
    <row r="122" spans="2:97" x14ac:dyDescent="0.25">
      <c r="B122" s="220">
        <f>+'Option inputs'!$B$18</f>
        <v>4</v>
      </c>
      <c r="C122" s="263" t="str">
        <f>'Option inputs'!$C$18</f>
        <v>Option 1D</v>
      </c>
      <c r="D122" s="218"/>
      <c r="E122" s="220" t="s">
        <v>35</v>
      </c>
      <c r="F122" s="254">
        <v>0</v>
      </c>
      <c r="G122" s="254">
        <v>2599720755.7481642</v>
      </c>
      <c r="H122" s="254">
        <v>2361113586.5194716</v>
      </c>
      <c r="I122" s="254">
        <v>2279532750.4517412</v>
      </c>
      <c r="J122" s="254">
        <v>2194728383.3970022</v>
      </c>
      <c r="K122" s="254">
        <v>2249037953.5263414</v>
      </c>
      <c r="L122" s="254">
        <v>2204754878.3816032</v>
      </c>
      <c r="M122" s="254">
        <v>2150031207.956912</v>
      </c>
      <c r="N122" s="254">
        <v>2328760215.474946</v>
      </c>
      <c r="O122" s="254">
        <v>2140235346.5033855</v>
      </c>
      <c r="P122" s="254">
        <v>1969697017.1717088</v>
      </c>
      <c r="Q122" s="254">
        <v>1814199082.5613458</v>
      </c>
      <c r="R122" s="254">
        <v>1822777225.2750173</v>
      </c>
      <c r="S122" s="254">
        <v>1943422244.7747943</v>
      </c>
      <c r="T122" s="254">
        <v>1978550614.7126584</v>
      </c>
      <c r="U122" s="254">
        <v>1924230973.3179717</v>
      </c>
      <c r="V122" s="254">
        <v>2035862924.8268554</v>
      </c>
      <c r="W122" s="254">
        <v>2086025406.5248759</v>
      </c>
      <c r="X122" s="254">
        <v>2204965279.0395374</v>
      </c>
      <c r="Y122" s="254">
        <v>2113754210.4243767</v>
      </c>
      <c r="Z122" s="254">
        <v>2243164112.376111</v>
      </c>
      <c r="AA122" s="254">
        <v>2296989466.157557</v>
      </c>
      <c r="AB122" s="254">
        <v>2350884589.7957869</v>
      </c>
      <c r="AC122" s="254">
        <v>2137717604.3553827</v>
      </c>
      <c r="AD122" s="254">
        <v>2747271273.4197659</v>
      </c>
      <c r="AE122" s="254">
        <v>2800105744.1890097</v>
      </c>
      <c r="AF122" s="254"/>
      <c r="AG122" s="254"/>
      <c r="AH122" s="254"/>
      <c r="AI122" s="254"/>
      <c r="AJ122" s="262"/>
      <c r="AK122" s="262"/>
      <c r="AL122" s="262"/>
      <c r="AM122" s="262"/>
      <c r="AN122" s="262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62"/>
      <c r="BH122" s="262"/>
      <c r="BI122" s="262"/>
      <c r="BJ122" s="262"/>
      <c r="BK122" s="262"/>
      <c r="BL122" s="262"/>
      <c r="BM122" s="262"/>
      <c r="BN122" s="262"/>
      <c r="BO122" s="208"/>
      <c r="BP122" s="208"/>
      <c r="BQ122" s="208"/>
      <c r="BR122" s="208"/>
      <c r="BS122" s="208"/>
      <c r="BT122" s="208"/>
      <c r="BU122" s="208"/>
      <c r="BV122" s="208"/>
      <c r="BW122" s="208"/>
      <c r="BX122" s="208"/>
      <c r="BY122" s="208"/>
      <c r="BZ122" s="208"/>
      <c r="CA122" s="208"/>
      <c r="CB122" s="208"/>
      <c r="CC122" s="208"/>
      <c r="CD122" s="208"/>
      <c r="CE122" s="208"/>
      <c r="CF122" s="208"/>
      <c r="CG122" s="208"/>
      <c r="CH122" s="208"/>
      <c r="CI122" s="208"/>
      <c r="CJ122" s="208"/>
      <c r="CK122" s="208"/>
      <c r="CL122" s="208"/>
      <c r="CM122" s="208"/>
      <c r="CN122" s="208"/>
      <c r="CO122" s="208"/>
      <c r="CP122" s="208"/>
      <c r="CQ122" s="208"/>
      <c r="CR122" s="208"/>
      <c r="CS122" s="208"/>
    </row>
    <row r="123" spans="2:97" x14ac:dyDescent="0.25">
      <c r="E123" s="215"/>
      <c r="AF123" s="207"/>
      <c r="AG123" s="207"/>
      <c r="AH123" s="207"/>
      <c r="AI123" s="207"/>
      <c r="AJ123" s="208"/>
      <c r="AK123" s="208"/>
      <c r="AL123" s="208"/>
      <c r="AM123" s="208"/>
      <c r="AN123" s="208"/>
      <c r="AO123" s="208"/>
      <c r="AP123" s="208"/>
      <c r="AQ123" s="208"/>
      <c r="AR123" s="208"/>
      <c r="AS123" s="208"/>
      <c r="AT123" s="208"/>
      <c r="AU123" s="208"/>
      <c r="AV123" s="208"/>
      <c r="AW123" s="208"/>
      <c r="AX123" s="208"/>
      <c r="AY123" s="208"/>
      <c r="AZ123" s="208"/>
      <c r="BA123" s="208"/>
      <c r="BB123" s="208"/>
      <c r="BC123" s="208"/>
      <c r="BD123" s="208"/>
      <c r="BE123" s="208"/>
      <c r="BF123" s="208"/>
      <c r="BG123" s="208"/>
      <c r="BH123" s="208"/>
      <c r="BI123" s="208"/>
      <c r="BJ123" s="208"/>
      <c r="BK123" s="208"/>
      <c r="BL123" s="208"/>
      <c r="BM123" s="208"/>
      <c r="BN123" s="208"/>
      <c r="BO123" s="208"/>
      <c r="BP123" s="208"/>
      <c r="BQ123" s="208"/>
      <c r="BR123" s="208"/>
      <c r="BS123" s="208"/>
      <c r="BT123" s="208"/>
      <c r="BU123" s="208"/>
      <c r="BV123" s="208"/>
      <c r="BW123" s="208"/>
      <c r="BX123" s="208"/>
      <c r="BY123" s="208"/>
      <c r="BZ123" s="208"/>
      <c r="CA123" s="208"/>
      <c r="CB123" s="208"/>
      <c r="CC123" s="208"/>
      <c r="CD123" s="208"/>
      <c r="CE123" s="208"/>
      <c r="CF123" s="208"/>
      <c r="CG123" s="208"/>
      <c r="CH123" s="208"/>
      <c r="CI123" s="208"/>
      <c r="CJ123" s="208"/>
      <c r="CK123" s="208"/>
      <c r="CL123" s="208"/>
      <c r="CM123" s="208"/>
      <c r="CN123" s="208"/>
      <c r="CO123" s="208"/>
      <c r="CP123" s="208"/>
      <c r="CQ123" s="208"/>
      <c r="CR123" s="208"/>
      <c r="CS123" s="208"/>
    </row>
    <row r="124" spans="2:97" ht="13" x14ac:dyDescent="0.3">
      <c r="B124" s="165" t="s">
        <v>14</v>
      </c>
      <c r="C124" s="216" t="s">
        <v>13</v>
      </c>
      <c r="D124" s="165" t="s">
        <v>87</v>
      </c>
      <c r="E124" s="217" t="s">
        <v>7</v>
      </c>
      <c r="F124" s="260" t="str">
        <f>Calculation!G$32</f>
        <v>FY 2019-20</v>
      </c>
      <c r="G124" s="260" t="str">
        <f>Calculation!H$32</f>
        <v>FY 2020-21</v>
      </c>
      <c r="H124" s="260" t="str">
        <f>Calculation!I$32</f>
        <v>FY 2021-22</v>
      </c>
      <c r="I124" s="260" t="str">
        <f>Calculation!J$32</f>
        <v>FY 2022-23</v>
      </c>
      <c r="J124" s="260" t="str">
        <f>Calculation!K$32</f>
        <v>FY 2023-24</v>
      </c>
      <c r="K124" s="260" t="str">
        <f>Calculation!L$32</f>
        <v>FY 2024-25</v>
      </c>
      <c r="L124" s="260" t="str">
        <f>Calculation!M$32</f>
        <v>FY 2025-26</v>
      </c>
      <c r="M124" s="260" t="str">
        <f>Calculation!N$32</f>
        <v>FY 2026-27</v>
      </c>
      <c r="N124" s="260" t="str">
        <f>Calculation!O$32</f>
        <v>FY 2027-28</v>
      </c>
      <c r="O124" s="260" t="str">
        <f>Calculation!P$32</f>
        <v>FY 2028-29</v>
      </c>
      <c r="P124" s="260" t="str">
        <f>Calculation!Q$32</f>
        <v>FY 2029-30</v>
      </c>
      <c r="Q124" s="260" t="str">
        <f>Calculation!R$32</f>
        <v>FY 2030-31</v>
      </c>
      <c r="R124" s="260" t="str">
        <f>Calculation!S$32</f>
        <v>FY 2031-32</v>
      </c>
      <c r="S124" s="260" t="str">
        <f>Calculation!T$32</f>
        <v>FY 2032-33</v>
      </c>
      <c r="T124" s="260" t="str">
        <f>Calculation!U$32</f>
        <v>FY 2033-34</v>
      </c>
      <c r="U124" s="260" t="str">
        <f>Calculation!V$32</f>
        <v>FY 2034-35</v>
      </c>
      <c r="V124" s="260" t="str">
        <f>Calculation!W$32</f>
        <v>FY 2035-36</v>
      </c>
      <c r="W124" s="260" t="str">
        <f>Calculation!X$32</f>
        <v>FY 2036-37</v>
      </c>
      <c r="X124" s="260" t="str">
        <f>Calculation!Y$32</f>
        <v>FY 2037-38</v>
      </c>
      <c r="Y124" s="260" t="str">
        <f>Calculation!Z$32</f>
        <v>FY 2038-39</v>
      </c>
      <c r="Z124" s="260" t="str">
        <f>Calculation!AA$32</f>
        <v>FY 2039-40</v>
      </c>
      <c r="AA124" s="260" t="str">
        <f>Calculation!AB$32</f>
        <v>FY 2040-41</v>
      </c>
      <c r="AB124" s="260" t="str">
        <f>Calculation!AC$32</f>
        <v>FY 2041-42</v>
      </c>
      <c r="AC124" s="260" t="str">
        <f>Calculation!AD$32</f>
        <v>FY 2042-43</v>
      </c>
      <c r="AD124" s="260" t="str">
        <f>Calculation!AE$32</f>
        <v>FY 2043-44</v>
      </c>
      <c r="AE124" s="260" t="str">
        <f>Calculation!AF$32</f>
        <v>FY 2044-45</v>
      </c>
      <c r="AF124" s="260" t="str">
        <f>Calculation!AG$32</f>
        <v>FY 2045-46</v>
      </c>
      <c r="AG124" s="260" t="str">
        <f>Calculation!AH$32</f>
        <v>FY 2046-47</v>
      </c>
      <c r="AH124" s="260" t="str">
        <f>Calculation!AI$32</f>
        <v>FY 2047-48</v>
      </c>
      <c r="AI124" s="260" t="str">
        <f>Calculation!AJ$32</f>
        <v>FY 2048-49</v>
      </c>
      <c r="AJ124" s="208"/>
      <c r="AK124" s="208"/>
      <c r="AL124" s="208"/>
      <c r="AM124" s="208"/>
      <c r="AN124" s="208"/>
      <c r="AO124" s="208"/>
      <c r="AP124" s="208"/>
      <c r="AQ124" s="208"/>
      <c r="AR124" s="208"/>
      <c r="AS124" s="208"/>
      <c r="AT124" s="208"/>
      <c r="AU124" s="208"/>
      <c r="AV124" s="208"/>
      <c r="AW124" s="208"/>
      <c r="AX124" s="208"/>
      <c r="AY124" s="208"/>
      <c r="AZ124" s="208"/>
      <c r="BA124" s="208"/>
      <c r="BB124" s="208"/>
      <c r="BC124" s="208"/>
      <c r="BD124" s="208"/>
      <c r="BE124" s="208"/>
      <c r="BF124" s="208"/>
      <c r="BG124" s="208"/>
      <c r="BH124" s="208"/>
      <c r="BI124" s="208"/>
      <c r="BJ124" s="208"/>
      <c r="BK124" s="208"/>
      <c r="BL124" s="208"/>
      <c r="BM124" s="208"/>
      <c r="BN124" s="208"/>
      <c r="BO124" s="208"/>
      <c r="BP124" s="208"/>
      <c r="BQ124" s="208"/>
      <c r="BR124" s="208"/>
      <c r="BS124" s="208"/>
      <c r="BT124" s="208"/>
      <c r="BU124" s="208"/>
      <c r="BV124" s="208"/>
      <c r="BW124" s="208"/>
      <c r="BX124" s="208"/>
      <c r="BY124" s="208"/>
      <c r="BZ124" s="208"/>
      <c r="CA124" s="208"/>
      <c r="CB124" s="208"/>
      <c r="CC124" s="208"/>
      <c r="CD124" s="208"/>
      <c r="CE124" s="208"/>
      <c r="CF124" s="208"/>
      <c r="CG124" s="208"/>
      <c r="CH124" s="208"/>
      <c r="CI124" s="208"/>
      <c r="CJ124" s="208"/>
      <c r="CK124" s="208"/>
      <c r="CL124" s="208"/>
      <c r="CM124" s="208"/>
      <c r="CN124" s="208"/>
      <c r="CO124" s="208"/>
      <c r="CP124" s="208"/>
      <c r="CQ124" s="208"/>
      <c r="CR124" s="208"/>
      <c r="CS124" s="208"/>
    </row>
    <row r="125" spans="2:97" x14ac:dyDescent="0.25">
      <c r="B125" s="220">
        <f>+'Option inputs'!$B$14</f>
        <v>0</v>
      </c>
      <c r="C125" s="261" t="str">
        <f>'Option inputs'!$C$14</f>
        <v>Base case</v>
      </c>
      <c r="D125" s="218"/>
      <c r="E125" s="220" t="s">
        <v>35</v>
      </c>
      <c r="F125" s="254">
        <v>0</v>
      </c>
      <c r="G125" s="254">
        <v>2771896503.6337719</v>
      </c>
      <c r="H125" s="254">
        <v>2605341664.5182018</v>
      </c>
      <c r="I125" s="254">
        <v>2626781448.645411</v>
      </c>
      <c r="J125" s="254">
        <v>2642915403.3491449</v>
      </c>
      <c r="K125" s="254">
        <v>2530868231.8933973</v>
      </c>
      <c r="L125" s="254">
        <v>2367025982.2659354</v>
      </c>
      <c r="M125" s="254">
        <v>2219161460.9424205</v>
      </c>
      <c r="N125" s="254">
        <v>2369182315.7591662</v>
      </c>
      <c r="O125" s="254">
        <v>2332715604.9479575</v>
      </c>
      <c r="P125" s="254">
        <v>2143574773.9901872</v>
      </c>
      <c r="Q125" s="254">
        <v>2129972902.3354888</v>
      </c>
      <c r="R125" s="254">
        <v>2094257981.2724495</v>
      </c>
      <c r="S125" s="254">
        <v>2316497845.0885534</v>
      </c>
      <c r="T125" s="254">
        <v>2197072399.2615814</v>
      </c>
      <c r="U125" s="254">
        <v>1902089382.7901826</v>
      </c>
      <c r="V125" s="254">
        <v>2231728882.9835615</v>
      </c>
      <c r="W125" s="254">
        <v>2092078286.3764255</v>
      </c>
      <c r="X125" s="254">
        <v>2040222228.4164484</v>
      </c>
      <c r="Y125" s="254">
        <v>2381806856.2412448</v>
      </c>
      <c r="Z125" s="254">
        <v>2235364681.9669905</v>
      </c>
      <c r="AA125" s="254">
        <v>2005285761.7461119</v>
      </c>
      <c r="AB125" s="254">
        <v>2219433155.7554178</v>
      </c>
      <c r="AC125" s="254">
        <v>1604129764.4323044</v>
      </c>
      <c r="AD125" s="254">
        <v>2430478541.5766335</v>
      </c>
      <c r="AE125" s="254">
        <v>2320498968.6086841</v>
      </c>
      <c r="AF125" s="254"/>
      <c r="AG125" s="254"/>
      <c r="AH125" s="254"/>
      <c r="AI125" s="254"/>
      <c r="AJ125" s="262"/>
      <c r="AK125" s="262"/>
      <c r="AL125" s="262"/>
      <c r="AM125" s="262"/>
      <c r="AN125" s="262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62"/>
      <c r="BH125" s="262"/>
      <c r="BI125" s="262"/>
      <c r="BJ125" s="262"/>
      <c r="BK125" s="262"/>
      <c r="BL125" s="262"/>
      <c r="BM125" s="262"/>
      <c r="BN125" s="262"/>
      <c r="BO125" s="208"/>
      <c r="BP125" s="208"/>
      <c r="BQ125" s="208"/>
      <c r="BR125" s="208"/>
      <c r="BS125" s="208"/>
      <c r="BT125" s="208"/>
      <c r="BU125" s="208"/>
      <c r="BV125" s="208"/>
      <c r="BW125" s="208"/>
      <c r="BX125" s="208"/>
      <c r="BY125" s="208"/>
      <c r="BZ125" s="208"/>
      <c r="CA125" s="208"/>
      <c r="CB125" s="208"/>
      <c r="CC125" s="208"/>
      <c r="CD125" s="208"/>
      <c r="CE125" s="208"/>
      <c r="CF125" s="208"/>
      <c r="CG125" s="208"/>
      <c r="CH125" s="208"/>
      <c r="CI125" s="208"/>
      <c r="CJ125" s="208"/>
      <c r="CK125" s="208"/>
      <c r="CL125" s="208"/>
      <c r="CM125" s="208"/>
      <c r="CN125" s="208"/>
      <c r="CO125" s="208"/>
      <c r="CP125" s="208"/>
      <c r="CQ125" s="208"/>
      <c r="CR125" s="208"/>
      <c r="CS125" s="208"/>
    </row>
    <row r="126" spans="2:97" x14ac:dyDescent="0.25">
      <c r="B126" s="220">
        <f>+'Option inputs'!$B$15</f>
        <v>1</v>
      </c>
      <c r="C126" s="263" t="str">
        <f>'Option inputs'!$C$15</f>
        <v>Option 1A</v>
      </c>
      <c r="D126" s="218"/>
      <c r="E126" s="220" t="s">
        <v>35</v>
      </c>
      <c r="F126" s="254">
        <v>0</v>
      </c>
      <c r="G126" s="254">
        <v>2771896493.6946106</v>
      </c>
      <c r="H126" s="254">
        <v>2605420284.6759119</v>
      </c>
      <c r="I126" s="254">
        <v>2618600271.5618091</v>
      </c>
      <c r="J126" s="254">
        <v>2645492267.0770202</v>
      </c>
      <c r="K126" s="254">
        <v>2535743102.660378</v>
      </c>
      <c r="L126" s="254">
        <v>2366905869.5461464</v>
      </c>
      <c r="M126" s="254">
        <v>2217197491.9729981</v>
      </c>
      <c r="N126" s="254">
        <v>2371620817.7128701</v>
      </c>
      <c r="O126" s="254">
        <v>2329756502.4252048</v>
      </c>
      <c r="P126" s="254">
        <v>2141037819.945076</v>
      </c>
      <c r="Q126" s="254">
        <v>2122655057.5755403</v>
      </c>
      <c r="R126" s="254">
        <v>2085414109.211339</v>
      </c>
      <c r="S126" s="254">
        <v>2311082072.1439013</v>
      </c>
      <c r="T126" s="254">
        <v>2185259168.5164304</v>
      </c>
      <c r="U126" s="254">
        <v>1904120679.4422514</v>
      </c>
      <c r="V126" s="254">
        <v>2230053347.5236139</v>
      </c>
      <c r="W126" s="254">
        <v>2080842339.5416977</v>
      </c>
      <c r="X126" s="254">
        <v>2025416561.8389566</v>
      </c>
      <c r="Y126" s="254">
        <v>2363047178.7298121</v>
      </c>
      <c r="Z126" s="254">
        <v>2197290624.0084357</v>
      </c>
      <c r="AA126" s="254">
        <v>1964401890.5798986</v>
      </c>
      <c r="AB126" s="254">
        <v>2178502850.1337557</v>
      </c>
      <c r="AC126" s="254">
        <v>1581906096.5615866</v>
      </c>
      <c r="AD126" s="254">
        <v>2373878422.9380946</v>
      </c>
      <c r="AE126" s="254">
        <v>2253262226.226541</v>
      </c>
      <c r="AF126" s="254"/>
      <c r="AG126" s="254"/>
      <c r="AH126" s="254"/>
      <c r="AI126" s="254"/>
      <c r="AJ126" s="262"/>
      <c r="AK126" s="262"/>
      <c r="AL126" s="262"/>
      <c r="AM126" s="262"/>
      <c r="AN126" s="262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62"/>
      <c r="BH126" s="262"/>
      <c r="BI126" s="262"/>
      <c r="BJ126" s="262"/>
      <c r="BK126" s="262"/>
      <c r="BL126" s="262"/>
      <c r="BM126" s="262"/>
      <c r="BN126" s="262"/>
      <c r="BO126" s="208"/>
      <c r="BP126" s="208"/>
      <c r="BQ126" s="208"/>
      <c r="BR126" s="208"/>
      <c r="BS126" s="208"/>
      <c r="BT126" s="208"/>
      <c r="BU126" s="208"/>
      <c r="BV126" s="208"/>
      <c r="BW126" s="208"/>
      <c r="BX126" s="208"/>
      <c r="BY126" s="208"/>
      <c r="BZ126" s="208"/>
      <c r="CA126" s="208"/>
      <c r="CB126" s="208"/>
      <c r="CC126" s="208"/>
      <c r="CD126" s="208"/>
      <c r="CE126" s="208"/>
      <c r="CF126" s="208"/>
      <c r="CG126" s="208"/>
      <c r="CH126" s="208"/>
      <c r="CI126" s="208"/>
      <c r="CJ126" s="208"/>
      <c r="CK126" s="208"/>
      <c r="CL126" s="208"/>
      <c r="CM126" s="208"/>
      <c r="CN126" s="208"/>
      <c r="CO126" s="208"/>
      <c r="CP126" s="208"/>
      <c r="CQ126" s="208"/>
      <c r="CR126" s="208"/>
      <c r="CS126" s="208"/>
    </row>
    <row r="127" spans="2:97" x14ac:dyDescent="0.25">
      <c r="B127" s="220">
        <f>+'Option inputs'!$B$16</f>
        <v>2</v>
      </c>
      <c r="C127" s="263" t="str">
        <f>'Option inputs'!$C$16</f>
        <v>Option 1B</v>
      </c>
      <c r="D127" s="218"/>
      <c r="E127" s="220" t="s">
        <v>35</v>
      </c>
      <c r="F127" s="254">
        <v>0</v>
      </c>
      <c r="G127" s="254">
        <v>2771896502.3564773</v>
      </c>
      <c r="H127" s="254">
        <v>2605320650.8402724</v>
      </c>
      <c r="I127" s="254">
        <v>2620412095.3924665</v>
      </c>
      <c r="J127" s="254">
        <v>2644634934.4868503</v>
      </c>
      <c r="K127" s="254">
        <v>2530567067.9558768</v>
      </c>
      <c r="L127" s="254">
        <v>2365809896.7333531</v>
      </c>
      <c r="M127" s="254">
        <v>2216531745.8621173</v>
      </c>
      <c r="N127" s="254">
        <v>2367540533.7700515</v>
      </c>
      <c r="O127" s="254">
        <v>2330347796.3016753</v>
      </c>
      <c r="P127" s="254">
        <v>2141846754.6458089</v>
      </c>
      <c r="Q127" s="254">
        <v>2124827777.5301929</v>
      </c>
      <c r="R127" s="254">
        <v>2085433467.6742814</v>
      </c>
      <c r="S127" s="254">
        <v>2305576608.9172359</v>
      </c>
      <c r="T127" s="254">
        <v>2186006905.2251329</v>
      </c>
      <c r="U127" s="254">
        <v>1896816711.2889769</v>
      </c>
      <c r="V127" s="254">
        <v>2224087018.2754812</v>
      </c>
      <c r="W127" s="254">
        <v>2083529449.1230142</v>
      </c>
      <c r="X127" s="254">
        <v>2026376936.1895151</v>
      </c>
      <c r="Y127" s="254">
        <v>2364641520.242238</v>
      </c>
      <c r="Z127" s="254">
        <v>2198241871.9942169</v>
      </c>
      <c r="AA127" s="254">
        <v>1963944467.4843192</v>
      </c>
      <c r="AB127" s="254">
        <v>2187845454.100069</v>
      </c>
      <c r="AC127" s="254">
        <v>1582598543.2108448</v>
      </c>
      <c r="AD127" s="254">
        <v>2382698756.3685403</v>
      </c>
      <c r="AE127" s="254">
        <v>2261670285.3871131</v>
      </c>
      <c r="AF127" s="254"/>
      <c r="AG127" s="254"/>
      <c r="AH127" s="254"/>
      <c r="AI127" s="254"/>
      <c r="AJ127" s="262"/>
      <c r="AK127" s="262"/>
      <c r="AL127" s="262"/>
      <c r="AM127" s="262"/>
      <c r="AN127" s="262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62"/>
      <c r="BH127" s="262"/>
      <c r="BI127" s="262"/>
      <c r="BJ127" s="262"/>
      <c r="BK127" s="262"/>
      <c r="BL127" s="262"/>
      <c r="BM127" s="262"/>
      <c r="BN127" s="262"/>
      <c r="BO127" s="208"/>
      <c r="BP127" s="208"/>
      <c r="BQ127" s="208"/>
      <c r="BR127" s="208"/>
      <c r="BS127" s="208"/>
      <c r="BT127" s="208"/>
      <c r="BU127" s="208"/>
      <c r="BV127" s="208"/>
      <c r="BW127" s="208"/>
      <c r="BX127" s="208"/>
      <c r="BY127" s="208"/>
      <c r="BZ127" s="208"/>
      <c r="CA127" s="208"/>
      <c r="CB127" s="208"/>
      <c r="CC127" s="208"/>
      <c r="CD127" s="208"/>
      <c r="CE127" s="208"/>
      <c r="CF127" s="208"/>
      <c r="CG127" s="208"/>
      <c r="CH127" s="208"/>
      <c r="CI127" s="208"/>
      <c r="CJ127" s="208"/>
      <c r="CK127" s="208"/>
      <c r="CL127" s="208"/>
      <c r="CM127" s="208"/>
      <c r="CN127" s="208"/>
      <c r="CO127" s="208"/>
      <c r="CP127" s="208"/>
      <c r="CQ127" s="208"/>
      <c r="CR127" s="208"/>
      <c r="CS127" s="208"/>
    </row>
    <row r="128" spans="2:97" x14ac:dyDescent="0.25">
      <c r="B128" s="220">
        <f>+'Option inputs'!$B$17</f>
        <v>3</v>
      </c>
      <c r="C128" s="263" t="str">
        <f>'Option inputs'!$C$17</f>
        <v>Option 1C</v>
      </c>
      <c r="D128" s="218"/>
      <c r="E128" s="220" t="s">
        <v>35</v>
      </c>
      <c r="F128" s="254">
        <v>0</v>
      </c>
      <c r="G128" s="254">
        <v>2771896482.1245365</v>
      </c>
      <c r="H128" s="254">
        <v>2605421306.9543595</v>
      </c>
      <c r="I128" s="254">
        <v>2615389170.8628178</v>
      </c>
      <c r="J128" s="254">
        <v>2644712628.8117361</v>
      </c>
      <c r="K128" s="254">
        <v>2535727467.8693151</v>
      </c>
      <c r="L128" s="254">
        <v>2368599780.2323303</v>
      </c>
      <c r="M128" s="254">
        <v>2221121704.2663288</v>
      </c>
      <c r="N128" s="254">
        <v>2375677794.1023283</v>
      </c>
      <c r="O128" s="254">
        <v>2334749603.2897496</v>
      </c>
      <c r="P128" s="254">
        <v>2143546491.8338819</v>
      </c>
      <c r="Q128" s="254">
        <v>2128009453.6757188</v>
      </c>
      <c r="R128" s="254">
        <v>2095136136.3936327</v>
      </c>
      <c r="S128" s="254">
        <v>2322668932.4086208</v>
      </c>
      <c r="T128" s="254">
        <v>2202229255.2358084</v>
      </c>
      <c r="U128" s="254">
        <v>1912654242.5174565</v>
      </c>
      <c r="V128" s="254">
        <v>2241212428.7391601</v>
      </c>
      <c r="W128" s="254">
        <v>2089633779.0372827</v>
      </c>
      <c r="X128" s="254">
        <v>2039226757.3105264</v>
      </c>
      <c r="Y128" s="254">
        <v>2379979053.9058423</v>
      </c>
      <c r="Z128" s="254">
        <v>2234714771.3746266</v>
      </c>
      <c r="AA128" s="254">
        <v>2006063342.8019183</v>
      </c>
      <c r="AB128" s="254">
        <v>2214169567.7380619</v>
      </c>
      <c r="AC128" s="254">
        <v>1604520671.631464</v>
      </c>
      <c r="AD128" s="254">
        <v>2430057515.1693945</v>
      </c>
      <c r="AE128" s="254">
        <v>2318933158.596416</v>
      </c>
      <c r="AF128" s="254"/>
      <c r="AG128" s="254"/>
      <c r="AH128" s="254"/>
      <c r="AI128" s="254"/>
      <c r="AJ128" s="262"/>
      <c r="AK128" s="262"/>
      <c r="AL128" s="262"/>
      <c r="AM128" s="262"/>
      <c r="AN128" s="262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62"/>
      <c r="BH128" s="262"/>
      <c r="BI128" s="262"/>
      <c r="BJ128" s="262"/>
      <c r="BK128" s="262"/>
      <c r="BL128" s="262"/>
      <c r="BM128" s="262"/>
      <c r="BN128" s="262"/>
      <c r="BO128" s="208"/>
      <c r="BP128" s="208"/>
      <c r="BQ128" s="208"/>
      <c r="BR128" s="208"/>
      <c r="BS128" s="208"/>
      <c r="BT128" s="208"/>
      <c r="BU128" s="208"/>
      <c r="BV128" s="208"/>
      <c r="BW128" s="208"/>
      <c r="BX128" s="208"/>
      <c r="BY128" s="208"/>
      <c r="BZ128" s="208"/>
      <c r="CA128" s="208"/>
      <c r="CB128" s="208"/>
      <c r="CC128" s="208"/>
      <c r="CD128" s="208"/>
      <c r="CE128" s="208"/>
      <c r="CF128" s="208"/>
      <c r="CG128" s="208"/>
      <c r="CH128" s="208"/>
      <c r="CI128" s="208"/>
      <c r="CJ128" s="208"/>
      <c r="CK128" s="208"/>
      <c r="CL128" s="208"/>
      <c r="CM128" s="208"/>
      <c r="CN128" s="208"/>
      <c r="CO128" s="208"/>
      <c r="CP128" s="208"/>
      <c r="CQ128" s="208"/>
      <c r="CR128" s="208"/>
      <c r="CS128" s="208"/>
    </row>
    <row r="129" spans="1:97" x14ac:dyDescent="0.25">
      <c r="B129" s="220">
        <f>+'Option inputs'!$B$18</f>
        <v>4</v>
      </c>
      <c r="C129" s="263" t="str">
        <f>'Option inputs'!$C$18</f>
        <v>Option 1D</v>
      </c>
      <c r="D129" s="218"/>
      <c r="E129" s="220" t="s">
        <v>35</v>
      </c>
      <c r="F129" s="254">
        <v>0</v>
      </c>
      <c r="G129" s="254">
        <v>2771896487.4326968</v>
      </c>
      <c r="H129" s="254">
        <v>2605399597.1374407</v>
      </c>
      <c r="I129" s="254">
        <v>2619737182.9383278</v>
      </c>
      <c r="J129" s="254">
        <v>2645925990.0815167</v>
      </c>
      <c r="K129" s="254">
        <v>2535414465.5425477</v>
      </c>
      <c r="L129" s="254">
        <v>2368513067.2315545</v>
      </c>
      <c r="M129" s="254">
        <v>2221108878.6255322</v>
      </c>
      <c r="N129" s="254">
        <v>2374307167.8498163</v>
      </c>
      <c r="O129" s="254">
        <v>2334747334.7555046</v>
      </c>
      <c r="P129" s="254">
        <v>2143950004.4022117</v>
      </c>
      <c r="Q129" s="254">
        <v>2128451311.5113015</v>
      </c>
      <c r="R129" s="254">
        <v>2093086800.309082</v>
      </c>
      <c r="S129" s="254">
        <v>2319416964.8252597</v>
      </c>
      <c r="T129" s="254">
        <v>2199620849.5912786</v>
      </c>
      <c r="U129" s="254">
        <v>1904361267.8543639</v>
      </c>
      <c r="V129" s="254">
        <v>2231356766.0290847</v>
      </c>
      <c r="W129" s="254">
        <v>2089399062.8592427</v>
      </c>
      <c r="X129" s="254">
        <v>2038946324.6021652</v>
      </c>
      <c r="Y129" s="254">
        <v>2380040249.7257576</v>
      </c>
      <c r="Z129" s="254">
        <v>2233237963.9735551</v>
      </c>
      <c r="AA129" s="254">
        <v>2004841337.8904281</v>
      </c>
      <c r="AB129" s="254">
        <v>2216473218.2363534</v>
      </c>
      <c r="AC129" s="254">
        <v>1604595337.9186401</v>
      </c>
      <c r="AD129" s="254">
        <v>2431314331.0590181</v>
      </c>
      <c r="AE129" s="254">
        <v>2318601399.7563863</v>
      </c>
      <c r="AF129" s="254"/>
      <c r="AG129" s="254"/>
      <c r="AH129" s="254"/>
      <c r="AI129" s="254"/>
      <c r="AJ129" s="262"/>
      <c r="AK129" s="262"/>
      <c r="AL129" s="262"/>
      <c r="AM129" s="262"/>
      <c r="AN129" s="262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62"/>
      <c r="BH129" s="262"/>
      <c r="BI129" s="262"/>
      <c r="BJ129" s="262"/>
      <c r="BK129" s="262"/>
      <c r="BL129" s="262"/>
      <c r="BM129" s="262"/>
      <c r="BN129" s="262"/>
      <c r="BO129" s="208"/>
      <c r="BP129" s="208"/>
      <c r="BQ129" s="208"/>
      <c r="BR129" s="208"/>
      <c r="BS129" s="208"/>
      <c r="BT129" s="208"/>
      <c r="BU129" s="208"/>
      <c r="BV129" s="208"/>
      <c r="BW129" s="208"/>
      <c r="BX129" s="208"/>
      <c r="BY129" s="208"/>
      <c r="BZ129" s="208"/>
      <c r="CA129" s="208"/>
      <c r="CB129" s="208"/>
      <c r="CC129" s="208"/>
      <c r="CD129" s="208"/>
      <c r="CE129" s="208"/>
      <c r="CF129" s="208"/>
      <c r="CG129" s="208"/>
      <c r="CH129" s="208"/>
      <c r="CI129" s="208"/>
      <c r="CJ129" s="208"/>
      <c r="CK129" s="208"/>
      <c r="CL129" s="208"/>
      <c r="CM129" s="208"/>
      <c r="CN129" s="208"/>
      <c r="CO129" s="208"/>
      <c r="CP129" s="208"/>
      <c r="CQ129" s="208"/>
      <c r="CR129" s="208"/>
      <c r="CS129" s="208"/>
    </row>
    <row r="130" spans="1:97" x14ac:dyDescent="0.25">
      <c r="E130" s="215"/>
      <c r="AF130" s="207"/>
      <c r="AG130" s="207"/>
      <c r="AH130" s="207"/>
      <c r="AI130" s="207"/>
      <c r="AJ130" s="208"/>
      <c r="AK130" s="208"/>
      <c r="AL130" s="208"/>
      <c r="AM130" s="208"/>
      <c r="AN130" s="208"/>
      <c r="AO130" s="208"/>
      <c r="AP130" s="208"/>
      <c r="AQ130" s="208"/>
      <c r="AR130" s="208"/>
      <c r="AS130" s="208"/>
      <c r="AT130" s="208"/>
      <c r="AU130" s="208"/>
      <c r="AV130" s="208"/>
      <c r="AW130" s="208"/>
      <c r="AX130" s="208"/>
      <c r="AY130" s="208"/>
      <c r="AZ130" s="208"/>
      <c r="BA130" s="208"/>
      <c r="BB130" s="208"/>
      <c r="BC130" s="208"/>
      <c r="BD130" s="208"/>
      <c r="BE130" s="208"/>
      <c r="BF130" s="208"/>
      <c r="BG130" s="208"/>
      <c r="BH130" s="208"/>
      <c r="BI130" s="208"/>
      <c r="BJ130" s="208"/>
      <c r="BK130" s="208"/>
      <c r="BL130" s="208"/>
      <c r="BM130" s="208"/>
      <c r="BN130" s="208"/>
      <c r="BO130" s="208"/>
      <c r="BP130" s="208"/>
      <c r="BQ130" s="208"/>
      <c r="BR130" s="208"/>
      <c r="BS130" s="208"/>
      <c r="BT130" s="208"/>
      <c r="BU130" s="208"/>
      <c r="BV130" s="208"/>
      <c r="BW130" s="208"/>
      <c r="BX130" s="208"/>
      <c r="BY130" s="208"/>
      <c r="BZ130" s="208"/>
      <c r="CA130" s="208"/>
      <c r="CB130" s="208"/>
      <c r="CC130" s="208"/>
      <c r="CD130" s="208"/>
      <c r="CE130" s="208"/>
      <c r="CF130" s="208"/>
      <c r="CG130" s="208"/>
      <c r="CH130" s="208"/>
      <c r="CI130" s="208"/>
      <c r="CJ130" s="208"/>
      <c r="CK130" s="208"/>
      <c r="CL130" s="208"/>
      <c r="CM130" s="208"/>
      <c r="CN130" s="208"/>
      <c r="CO130" s="208"/>
      <c r="CP130" s="208"/>
      <c r="CQ130" s="208"/>
      <c r="CR130" s="208"/>
      <c r="CS130" s="208"/>
    </row>
    <row r="131" spans="1:97" ht="13" x14ac:dyDescent="0.3">
      <c r="B131" s="257" t="s">
        <v>29</v>
      </c>
      <c r="C131" s="258"/>
      <c r="D131" s="257"/>
      <c r="E131" s="267" t="s">
        <v>30</v>
      </c>
      <c r="F131" s="257"/>
      <c r="G131" s="257"/>
      <c r="H131" s="257"/>
      <c r="I131" s="257"/>
      <c r="J131" s="257"/>
      <c r="K131" s="257"/>
      <c r="L131" s="257"/>
      <c r="M131" s="257"/>
      <c r="N131" s="257"/>
      <c r="O131" s="257"/>
      <c r="P131" s="257"/>
      <c r="Q131" s="257"/>
      <c r="R131" s="257"/>
      <c r="S131" s="257"/>
      <c r="T131" s="257"/>
      <c r="U131" s="257"/>
      <c r="V131" s="257"/>
      <c r="W131" s="257"/>
      <c r="X131" s="257"/>
      <c r="Y131" s="257"/>
      <c r="Z131" s="257"/>
      <c r="AA131" s="257"/>
      <c r="AB131" s="257"/>
      <c r="AC131" s="257"/>
      <c r="AD131" s="257"/>
      <c r="AE131" s="257"/>
      <c r="AF131" s="257"/>
      <c r="AG131" s="257"/>
      <c r="AH131" s="257"/>
      <c r="AI131" s="257"/>
      <c r="AJ131" s="208"/>
      <c r="AK131" s="208"/>
      <c r="AL131" s="208"/>
      <c r="AM131" s="208"/>
      <c r="AN131" s="208"/>
      <c r="AO131" s="208"/>
      <c r="AP131" s="208"/>
      <c r="AQ131" s="208"/>
      <c r="AR131" s="208"/>
      <c r="AS131" s="208"/>
      <c r="AT131" s="208"/>
      <c r="AU131" s="208"/>
      <c r="AV131" s="208"/>
      <c r="AW131" s="208"/>
      <c r="AX131" s="208"/>
      <c r="AY131" s="208"/>
      <c r="AZ131" s="208"/>
      <c r="BA131" s="208"/>
      <c r="BB131" s="208"/>
      <c r="BC131" s="208"/>
      <c r="BD131" s="208"/>
      <c r="BE131" s="208"/>
      <c r="BF131" s="208"/>
      <c r="BG131" s="208"/>
      <c r="BH131" s="208"/>
      <c r="BI131" s="208"/>
      <c r="BJ131" s="208"/>
      <c r="BK131" s="208"/>
      <c r="BL131" s="208"/>
      <c r="BM131" s="208"/>
      <c r="BN131" s="208"/>
      <c r="BO131" s="208"/>
      <c r="BP131" s="208"/>
      <c r="BQ131" s="208"/>
      <c r="BR131" s="208"/>
      <c r="BS131" s="208"/>
      <c r="BT131" s="208"/>
      <c r="BU131" s="208"/>
      <c r="BV131" s="208"/>
      <c r="BW131" s="208"/>
      <c r="BX131" s="208"/>
      <c r="BY131" s="208"/>
      <c r="BZ131" s="208"/>
      <c r="CA131" s="208"/>
      <c r="CB131" s="208"/>
      <c r="CC131" s="208"/>
      <c r="CD131" s="208"/>
      <c r="CE131" s="208"/>
      <c r="CF131" s="208"/>
      <c r="CG131" s="208"/>
      <c r="CH131" s="208"/>
      <c r="CI131" s="208"/>
      <c r="CJ131" s="208"/>
      <c r="CK131" s="208"/>
      <c r="CL131" s="208"/>
      <c r="CM131" s="208"/>
      <c r="CN131" s="208"/>
      <c r="CO131" s="208"/>
      <c r="CP131" s="208"/>
      <c r="CQ131" s="208"/>
      <c r="CR131" s="208"/>
      <c r="CS131" s="208"/>
    </row>
    <row r="132" spans="1:97" s="208" customFormat="1" ht="13" x14ac:dyDescent="0.3">
      <c r="A132" s="230"/>
      <c r="B132" s="269"/>
      <c r="C132" s="270"/>
      <c r="D132" s="269"/>
      <c r="E132" s="271"/>
      <c r="F132" s="269"/>
      <c r="G132" s="269"/>
      <c r="H132" s="269"/>
      <c r="I132" s="269"/>
      <c r="J132" s="269"/>
      <c r="K132" s="269"/>
      <c r="L132" s="269"/>
      <c r="M132" s="269"/>
      <c r="N132" s="269"/>
      <c r="O132" s="269"/>
      <c r="P132" s="269"/>
      <c r="Q132" s="269"/>
      <c r="R132" s="269"/>
      <c r="S132" s="269"/>
      <c r="T132" s="269"/>
      <c r="U132" s="269"/>
      <c r="V132" s="269"/>
      <c r="W132" s="269"/>
      <c r="X132" s="269"/>
      <c r="Y132" s="269"/>
      <c r="Z132" s="269"/>
      <c r="AA132" s="269"/>
      <c r="AB132" s="269"/>
      <c r="AC132" s="269"/>
      <c r="AD132" s="269"/>
      <c r="AE132" s="269"/>
      <c r="AF132" s="269"/>
      <c r="AG132" s="269"/>
      <c r="AH132" s="269"/>
      <c r="AI132" s="269"/>
    </row>
    <row r="133" spans="1:97" ht="13" x14ac:dyDescent="0.3">
      <c r="B133" s="165" t="s">
        <v>14</v>
      </c>
      <c r="C133" s="216" t="s">
        <v>13</v>
      </c>
      <c r="D133" s="216" t="s">
        <v>93</v>
      </c>
      <c r="E133" s="217" t="s">
        <v>7</v>
      </c>
      <c r="F133" s="260" t="str">
        <f>Calculation!G$32</f>
        <v>FY 2019-20</v>
      </c>
      <c r="G133" s="260" t="str">
        <f>Calculation!H$32</f>
        <v>FY 2020-21</v>
      </c>
      <c r="H133" s="260" t="str">
        <f>Calculation!I$32</f>
        <v>FY 2021-22</v>
      </c>
      <c r="I133" s="260" t="str">
        <f>Calculation!J$32</f>
        <v>FY 2022-23</v>
      </c>
      <c r="J133" s="260" t="str">
        <f>Calculation!K$32</f>
        <v>FY 2023-24</v>
      </c>
      <c r="K133" s="260" t="str">
        <f>Calculation!L$32</f>
        <v>FY 2024-25</v>
      </c>
      <c r="L133" s="260" t="str">
        <f>Calculation!M$32</f>
        <v>FY 2025-26</v>
      </c>
      <c r="M133" s="260" t="str">
        <f>Calculation!N$32</f>
        <v>FY 2026-27</v>
      </c>
      <c r="N133" s="260" t="str">
        <f>Calculation!O$32</f>
        <v>FY 2027-28</v>
      </c>
      <c r="O133" s="260" t="str">
        <f>Calculation!P$32</f>
        <v>FY 2028-29</v>
      </c>
      <c r="P133" s="260" t="str">
        <f>Calculation!Q$32</f>
        <v>FY 2029-30</v>
      </c>
      <c r="Q133" s="260" t="str">
        <f>Calculation!R$32</f>
        <v>FY 2030-31</v>
      </c>
      <c r="R133" s="260" t="str">
        <f>Calculation!S$32</f>
        <v>FY 2031-32</v>
      </c>
      <c r="S133" s="260" t="str">
        <f>Calculation!T$32</f>
        <v>FY 2032-33</v>
      </c>
      <c r="T133" s="260" t="str">
        <f>Calculation!U$32</f>
        <v>FY 2033-34</v>
      </c>
      <c r="U133" s="260" t="str">
        <f>Calculation!V$32</f>
        <v>FY 2034-35</v>
      </c>
      <c r="V133" s="260" t="str">
        <f>Calculation!W$32</f>
        <v>FY 2035-36</v>
      </c>
      <c r="W133" s="260" t="str">
        <f>Calculation!X$32</f>
        <v>FY 2036-37</v>
      </c>
      <c r="X133" s="260" t="str">
        <f>Calculation!Y$32</f>
        <v>FY 2037-38</v>
      </c>
      <c r="Y133" s="260" t="str">
        <f>Calculation!Z$32</f>
        <v>FY 2038-39</v>
      </c>
      <c r="Z133" s="260" t="str">
        <f>Calculation!AA$32</f>
        <v>FY 2039-40</v>
      </c>
      <c r="AA133" s="260" t="str">
        <f>Calculation!AB$32</f>
        <v>FY 2040-41</v>
      </c>
      <c r="AB133" s="260" t="str">
        <f>Calculation!AC$32</f>
        <v>FY 2041-42</v>
      </c>
      <c r="AC133" s="260" t="str">
        <f>Calculation!AD$32</f>
        <v>FY 2042-43</v>
      </c>
      <c r="AD133" s="260" t="str">
        <f>Calculation!AE$32</f>
        <v>FY 2043-44</v>
      </c>
      <c r="AE133" s="260" t="str">
        <f>Calculation!AF$32</f>
        <v>FY 2044-45</v>
      </c>
      <c r="AF133" s="260" t="str">
        <f>Calculation!AG$32</f>
        <v>FY 2045-46</v>
      </c>
      <c r="AG133" s="260" t="str">
        <f>Calculation!AH$32</f>
        <v>FY 2046-47</v>
      </c>
      <c r="AH133" s="260" t="str">
        <f>Calculation!AI$32</f>
        <v>FY 2047-48</v>
      </c>
      <c r="AI133" s="260" t="str">
        <f>Calculation!AJ$32</f>
        <v>FY 2048-49</v>
      </c>
      <c r="AJ133" s="208"/>
      <c r="AK133" s="208"/>
      <c r="AL133" s="208"/>
      <c r="AM133" s="208"/>
      <c r="AN133" s="208"/>
      <c r="AO133" s="208"/>
      <c r="AP133" s="208"/>
      <c r="AQ133" s="208"/>
      <c r="AR133" s="208"/>
      <c r="AS133" s="208"/>
      <c r="AT133" s="208"/>
      <c r="AU133" s="208"/>
      <c r="AV133" s="208"/>
      <c r="AW133" s="208"/>
      <c r="AX133" s="208"/>
      <c r="AY133" s="208"/>
      <c r="AZ133" s="208"/>
      <c r="BA133" s="208"/>
      <c r="BB133" s="208"/>
      <c r="BC133" s="208"/>
      <c r="BD133" s="208"/>
      <c r="BE133" s="208"/>
      <c r="BF133" s="208"/>
      <c r="BG133" s="208"/>
      <c r="BH133" s="208"/>
      <c r="BI133" s="208"/>
      <c r="BJ133" s="208"/>
      <c r="BK133" s="208"/>
      <c r="BL133" s="208"/>
      <c r="BM133" s="208"/>
      <c r="BN133" s="208"/>
      <c r="BO133" s="208"/>
      <c r="BP133" s="208"/>
      <c r="BQ133" s="208"/>
      <c r="BR133" s="208"/>
      <c r="BS133" s="208"/>
      <c r="BT133" s="208"/>
      <c r="BU133" s="208"/>
      <c r="BV133" s="208"/>
      <c r="BW133" s="208"/>
      <c r="BX133" s="208"/>
      <c r="BY133" s="208"/>
      <c r="BZ133" s="208"/>
      <c r="CA133" s="208"/>
      <c r="CB133" s="208"/>
      <c r="CC133" s="208"/>
      <c r="CD133" s="208"/>
      <c r="CE133" s="208"/>
      <c r="CF133" s="208"/>
      <c r="CG133" s="208"/>
      <c r="CH133" s="208"/>
      <c r="CI133" s="208"/>
      <c r="CJ133" s="208"/>
      <c r="CK133" s="208"/>
      <c r="CL133" s="208"/>
      <c r="CM133" s="208"/>
      <c r="CN133" s="208"/>
      <c r="CO133" s="208"/>
      <c r="CP133" s="208"/>
      <c r="CQ133" s="208"/>
      <c r="CR133" s="208"/>
      <c r="CS133" s="208"/>
    </row>
    <row r="134" spans="1:97" x14ac:dyDescent="0.25">
      <c r="B134" s="220">
        <f>+'Option inputs'!$B$14</f>
        <v>0</v>
      </c>
      <c r="C134" s="261" t="str">
        <f>'Option inputs'!$C$14</f>
        <v>Base case</v>
      </c>
      <c r="D134" s="218"/>
      <c r="E134" s="220" t="s">
        <v>35</v>
      </c>
      <c r="F134" s="254">
        <v>0</v>
      </c>
      <c r="G134" s="254">
        <v>964662.08953489247</v>
      </c>
      <c r="H134" s="254">
        <v>274039.8279585499</v>
      </c>
      <c r="I134" s="254">
        <v>10315093.909587787</v>
      </c>
      <c r="J134" s="254">
        <v>8374367.5652897637</v>
      </c>
      <c r="K134" s="254">
        <v>4385333.4366820194</v>
      </c>
      <c r="L134" s="254">
        <v>6.3551435597191821</v>
      </c>
      <c r="M134" s="254">
        <v>2936.4853109067381</v>
      </c>
      <c r="N134" s="254">
        <v>16990.93007993115</v>
      </c>
      <c r="O134" s="254">
        <v>1961158.876036708</v>
      </c>
      <c r="P134" s="254">
        <v>2250015.6032552449</v>
      </c>
      <c r="Q134" s="254">
        <v>1437544.3939177829</v>
      </c>
      <c r="R134" s="254">
        <v>1187730.1253582675</v>
      </c>
      <c r="S134" s="254">
        <v>5366587.9311805442</v>
      </c>
      <c r="T134" s="254">
        <v>4731236.6067352574</v>
      </c>
      <c r="U134" s="254">
        <v>5306994.4971440556</v>
      </c>
      <c r="V134" s="254">
        <v>12394020.872759337</v>
      </c>
      <c r="W134" s="254">
        <v>19629.063253032633</v>
      </c>
      <c r="X134" s="254">
        <v>110539.93336293042</v>
      </c>
      <c r="Y134" s="254">
        <v>5113752.1247181091</v>
      </c>
      <c r="Z134" s="254">
        <v>20334635.312905073</v>
      </c>
      <c r="AA134" s="254">
        <v>9586982.2746842727</v>
      </c>
      <c r="AB134" s="254">
        <v>9199368.2994926516</v>
      </c>
      <c r="AC134" s="254">
        <v>26128637.809989192</v>
      </c>
      <c r="AD134" s="254">
        <v>23961360.477594841</v>
      </c>
      <c r="AE134" s="254">
        <v>20.708958363465914</v>
      </c>
      <c r="AF134" s="254"/>
      <c r="AG134" s="254"/>
      <c r="AH134" s="254"/>
      <c r="AI134" s="254"/>
      <c r="AJ134" s="262"/>
      <c r="AK134" s="262"/>
      <c r="AL134" s="262"/>
      <c r="AM134" s="262"/>
      <c r="AN134" s="262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62"/>
      <c r="BH134" s="262"/>
      <c r="BI134" s="262"/>
      <c r="BJ134" s="262"/>
      <c r="BK134" s="262"/>
      <c r="BL134" s="262"/>
      <c r="BM134" s="262"/>
      <c r="BN134" s="262"/>
      <c r="BO134" s="208"/>
      <c r="BP134" s="208"/>
      <c r="BQ134" s="208"/>
      <c r="BR134" s="208"/>
      <c r="BS134" s="208"/>
      <c r="BT134" s="208"/>
      <c r="BU134" s="208"/>
      <c r="BV134" s="208"/>
      <c r="BW134" s="208"/>
      <c r="BX134" s="208"/>
      <c r="BY134" s="208"/>
      <c r="BZ134" s="208"/>
      <c r="CA134" s="208"/>
      <c r="CB134" s="208"/>
      <c r="CC134" s="208"/>
      <c r="CD134" s="208"/>
      <c r="CE134" s="208"/>
      <c r="CF134" s="208"/>
      <c r="CG134" s="208"/>
      <c r="CH134" s="208"/>
      <c r="CI134" s="208"/>
      <c r="CJ134" s="208"/>
      <c r="CK134" s="208"/>
      <c r="CL134" s="208"/>
      <c r="CM134" s="208"/>
      <c r="CN134" s="208"/>
      <c r="CO134" s="208"/>
      <c r="CP134" s="208"/>
      <c r="CQ134" s="208"/>
      <c r="CR134" s="208"/>
      <c r="CS134" s="208"/>
    </row>
    <row r="135" spans="1:97" x14ac:dyDescent="0.25">
      <c r="B135" s="220">
        <f>+'Option inputs'!$B$15</f>
        <v>1</v>
      </c>
      <c r="C135" s="263" t="str">
        <f>'Option inputs'!$C$15</f>
        <v>Option 1A</v>
      </c>
      <c r="D135" s="218"/>
      <c r="E135" s="220" t="s">
        <v>35</v>
      </c>
      <c r="F135" s="254">
        <v>0</v>
      </c>
      <c r="G135" s="254">
        <v>964659.57153472607</v>
      </c>
      <c r="H135" s="254">
        <v>274037.13831692305</v>
      </c>
      <c r="I135" s="254">
        <v>10157961.41796698</v>
      </c>
      <c r="J135" s="254">
        <v>8199451.1184993815</v>
      </c>
      <c r="K135" s="254">
        <v>4352619.3981755832</v>
      </c>
      <c r="L135" s="254">
        <v>2.9127138390711687</v>
      </c>
      <c r="M135" s="254">
        <v>3.0670435933109186</v>
      </c>
      <c r="N135" s="254">
        <v>15415.682100092232</v>
      </c>
      <c r="O135" s="254">
        <v>1914989.8119894937</v>
      </c>
      <c r="P135" s="254">
        <v>2242999.2191829621</v>
      </c>
      <c r="Q135" s="254">
        <v>1451859.1264724219</v>
      </c>
      <c r="R135" s="254">
        <v>1171703.8976310813</v>
      </c>
      <c r="S135" s="254">
        <v>4580404.7831852576</v>
      </c>
      <c r="T135" s="254">
        <v>4310672.0124330474</v>
      </c>
      <c r="U135" s="254">
        <v>4238837.5342905903</v>
      </c>
      <c r="V135" s="254">
        <v>10310860.697334517</v>
      </c>
      <c r="W135" s="254">
        <v>19629.02873126747</v>
      </c>
      <c r="X135" s="254">
        <v>161967.78362616303</v>
      </c>
      <c r="Y135" s="254">
        <v>5473600.7140962053</v>
      </c>
      <c r="Z135" s="254">
        <v>14653035.681635462</v>
      </c>
      <c r="AA135" s="254">
        <v>12832535.0935107</v>
      </c>
      <c r="AB135" s="254">
        <v>5880459.4880661815</v>
      </c>
      <c r="AC135" s="254">
        <v>25768144.978138547</v>
      </c>
      <c r="AD135" s="254">
        <v>24051949.429074965</v>
      </c>
      <c r="AE135" s="254">
        <v>9.4901715534405806</v>
      </c>
      <c r="AF135" s="254"/>
      <c r="AG135" s="254"/>
      <c r="AH135" s="254"/>
      <c r="AI135" s="254"/>
      <c r="AJ135" s="262"/>
      <c r="AK135" s="262"/>
      <c r="AL135" s="262"/>
      <c r="AM135" s="262"/>
      <c r="AN135" s="262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62"/>
      <c r="BH135" s="262"/>
      <c r="BI135" s="262"/>
      <c r="BJ135" s="262"/>
      <c r="BK135" s="262"/>
      <c r="BL135" s="262"/>
      <c r="BM135" s="262"/>
      <c r="BN135" s="262"/>
      <c r="BO135" s="208"/>
      <c r="BP135" s="208"/>
      <c r="BQ135" s="208"/>
      <c r="BR135" s="208"/>
      <c r="BS135" s="208"/>
      <c r="BT135" s="208"/>
      <c r="BU135" s="208"/>
      <c r="BV135" s="208"/>
      <c r="BW135" s="208"/>
      <c r="BX135" s="208"/>
      <c r="BY135" s="208"/>
      <c r="BZ135" s="208"/>
      <c r="CA135" s="208"/>
      <c r="CB135" s="208"/>
      <c r="CC135" s="208"/>
      <c r="CD135" s="208"/>
      <c r="CE135" s="208"/>
      <c r="CF135" s="208"/>
      <c r="CG135" s="208"/>
      <c r="CH135" s="208"/>
      <c r="CI135" s="208"/>
      <c r="CJ135" s="208"/>
      <c r="CK135" s="208"/>
      <c r="CL135" s="208"/>
      <c r="CM135" s="208"/>
      <c r="CN135" s="208"/>
      <c r="CO135" s="208"/>
      <c r="CP135" s="208"/>
      <c r="CQ135" s="208"/>
      <c r="CR135" s="208"/>
      <c r="CS135" s="208"/>
    </row>
    <row r="136" spans="1:97" x14ac:dyDescent="0.25">
      <c r="B136" s="220">
        <f>+'Option inputs'!$B$16</f>
        <v>2</v>
      </c>
      <c r="C136" s="263" t="str">
        <f>'Option inputs'!$C$16</f>
        <v>Option 1B</v>
      </c>
      <c r="D136" s="218"/>
      <c r="E136" s="220" t="s">
        <v>35</v>
      </c>
      <c r="F136" s="254">
        <v>0</v>
      </c>
      <c r="G136" s="254">
        <v>964666.52395001904</v>
      </c>
      <c r="H136" s="254">
        <v>274044.51732488308</v>
      </c>
      <c r="I136" s="254">
        <v>10315047.375835067</v>
      </c>
      <c r="J136" s="254">
        <v>8184516.462645568</v>
      </c>
      <c r="K136" s="254">
        <v>4373022.3660146073</v>
      </c>
      <c r="L136" s="254">
        <v>12.334409930934207</v>
      </c>
      <c r="M136" s="254">
        <v>3446.2512530149324</v>
      </c>
      <c r="N136" s="254">
        <v>17731.126543731374</v>
      </c>
      <c r="O136" s="254">
        <v>1557576.3850670969</v>
      </c>
      <c r="P136" s="254">
        <v>2171045.8263520654</v>
      </c>
      <c r="Q136" s="254">
        <v>1528998.2776105844</v>
      </c>
      <c r="R136" s="254">
        <v>1174686.6305820518</v>
      </c>
      <c r="S136" s="254">
        <v>5185722.7227724167</v>
      </c>
      <c r="T136" s="254">
        <v>5139226.8280191766</v>
      </c>
      <c r="U136" s="254">
        <v>5723410.7791033424</v>
      </c>
      <c r="V136" s="254">
        <v>11808193.340218894</v>
      </c>
      <c r="W136" s="254">
        <v>32608.749343654366</v>
      </c>
      <c r="X136" s="254">
        <v>151041.44316438699</v>
      </c>
      <c r="Y136" s="254">
        <v>5729940.3168165097</v>
      </c>
      <c r="Z136" s="254">
        <v>20165919.917435277</v>
      </c>
      <c r="AA136" s="254">
        <v>9925745.217488775</v>
      </c>
      <c r="AB136" s="254">
        <v>9540191.2747967076</v>
      </c>
      <c r="AC136" s="254">
        <v>26438138.907139599</v>
      </c>
      <c r="AD136" s="254">
        <v>24251442.607703</v>
      </c>
      <c r="AE136" s="254">
        <v>40.184366515901814</v>
      </c>
      <c r="AF136" s="254"/>
      <c r="AG136" s="254"/>
      <c r="AH136" s="254"/>
      <c r="AI136" s="254"/>
      <c r="AJ136" s="262"/>
      <c r="AK136" s="262"/>
      <c r="AL136" s="262"/>
      <c r="AM136" s="262"/>
      <c r="AN136" s="262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62"/>
      <c r="BH136" s="262"/>
      <c r="BI136" s="262"/>
      <c r="BJ136" s="262"/>
      <c r="BK136" s="262"/>
      <c r="BL136" s="262"/>
      <c r="BM136" s="262"/>
      <c r="BN136" s="262"/>
      <c r="BO136" s="208"/>
      <c r="BP136" s="208"/>
      <c r="BQ136" s="208"/>
      <c r="BR136" s="208"/>
      <c r="BS136" s="208"/>
      <c r="BT136" s="208"/>
      <c r="BU136" s="208"/>
      <c r="BV136" s="208"/>
      <c r="BW136" s="208"/>
      <c r="BX136" s="208"/>
      <c r="BY136" s="208"/>
      <c r="BZ136" s="208"/>
      <c r="CA136" s="208"/>
      <c r="CB136" s="208"/>
      <c r="CC136" s="208"/>
      <c r="CD136" s="208"/>
      <c r="CE136" s="208"/>
      <c r="CF136" s="208"/>
      <c r="CG136" s="208"/>
      <c r="CH136" s="208"/>
      <c r="CI136" s="208"/>
      <c r="CJ136" s="208"/>
      <c r="CK136" s="208"/>
      <c r="CL136" s="208"/>
      <c r="CM136" s="208"/>
      <c r="CN136" s="208"/>
      <c r="CO136" s="208"/>
      <c r="CP136" s="208"/>
      <c r="CQ136" s="208"/>
      <c r="CR136" s="208"/>
      <c r="CS136" s="208"/>
    </row>
    <row r="137" spans="1:97" x14ac:dyDescent="0.25">
      <c r="B137" s="220">
        <f>+'Option inputs'!$B$17</f>
        <v>3</v>
      </c>
      <c r="C137" s="263" t="str">
        <f>'Option inputs'!$C$17</f>
        <v>Option 1C</v>
      </c>
      <c r="D137" s="218"/>
      <c r="E137" s="220" t="s">
        <v>35</v>
      </c>
      <c r="F137" s="254">
        <v>0</v>
      </c>
      <c r="G137" s="254">
        <v>964659.8620497915</v>
      </c>
      <c r="H137" s="254">
        <v>274037.44497935975</v>
      </c>
      <c r="I137" s="254">
        <v>9938079.4432231635</v>
      </c>
      <c r="J137" s="254">
        <v>8329151.8801202821</v>
      </c>
      <c r="K137" s="254">
        <v>4091199.2773858067</v>
      </c>
      <c r="L137" s="254">
        <v>3.3169330028976312</v>
      </c>
      <c r="M137" s="254">
        <v>3.4964872655453827</v>
      </c>
      <c r="N137" s="254">
        <v>3999.7573983517191</v>
      </c>
      <c r="O137" s="254">
        <v>1873986.7346536727</v>
      </c>
      <c r="P137" s="254">
        <v>2304198.2759829569</v>
      </c>
      <c r="Q137" s="254">
        <v>872760.78287405032</v>
      </c>
      <c r="R137" s="254">
        <v>1204838.6853345798</v>
      </c>
      <c r="S137" s="254">
        <v>5378855.2884665374</v>
      </c>
      <c r="T137" s="254">
        <v>3300348.121834422</v>
      </c>
      <c r="U137" s="254">
        <v>4700215.3092585094</v>
      </c>
      <c r="V137" s="254">
        <v>10277487.692818606</v>
      </c>
      <c r="W137" s="254">
        <v>6.9590732793571286</v>
      </c>
      <c r="X137" s="254">
        <v>92585.007151196623</v>
      </c>
      <c r="Y137" s="254">
        <v>4712733.0535078598</v>
      </c>
      <c r="Z137" s="254">
        <v>17021695.522031266</v>
      </c>
      <c r="AA137" s="254">
        <v>13612050.766081301</v>
      </c>
      <c r="AB137" s="254">
        <v>7091441.4109715335</v>
      </c>
      <c r="AC137" s="254">
        <v>25389496.962503824</v>
      </c>
      <c r="AD137" s="254">
        <v>27927633.863170866</v>
      </c>
      <c r="AE137" s="254">
        <v>10.798372969734068</v>
      </c>
      <c r="AF137" s="254"/>
      <c r="AG137" s="254"/>
      <c r="AH137" s="254"/>
      <c r="AI137" s="254"/>
      <c r="AJ137" s="262"/>
      <c r="AK137" s="262"/>
      <c r="AL137" s="262"/>
      <c r="AM137" s="262"/>
      <c r="AN137" s="262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62"/>
      <c r="BH137" s="262"/>
      <c r="BI137" s="262"/>
      <c r="BJ137" s="262"/>
      <c r="BK137" s="262"/>
      <c r="BL137" s="262"/>
      <c r="BM137" s="262"/>
      <c r="BN137" s="262"/>
      <c r="BO137" s="208"/>
      <c r="BP137" s="208"/>
      <c r="BQ137" s="208"/>
      <c r="BR137" s="208"/>
      <c r="BS137" s="208"/>
      <c r="BT137" s="208"/>
      <c r="BU137" s="208"/>
      <c r="BV137" s="208"/>
      <c r="BW137" s="208"/>
      <c r="BX137" s="208"/>
      <c r="BY137" s="208"/>
      <c r="BZ137" s="208"/>
      <c r="CA137" s="208"/>
      <c r="CB137" s="208"/>
      <c r="CC137" s="208"/>
      <c r="CD137" s="208"/>
      <c r="CE137" s="208"/>
      <c r="CF137" s="208"/>
      <c r="CG137" s="208"/>
      <c r="CH137" s="208"/>
      <c r="CI137" s="208"/>
      <c r="CJ137" s="208"/>
      <c r="CK137" s="208"/>
      <c r="CL137" s="208"/>
      <c r="CM137" s="208"/>
      <c r="CN137" s="208"/>
      <c r="CO137" s="208"/>
      <c r="CP137" s="208"/>
      <c r="CQ137" s="208"/>
      <c r="CR137" s="208"/>
      <c r="CS137" s="208"/>
    </row>
    <row r="138" spans="1:97" x14ac:dyDescent="0.25">
      <c r="B138" s="220">
        <f>+'Option inputs'!$B$18</f>
        <v>4</v>
      </c>
      <c r="C138" s="263" t="str">
        <f>'Option inputs'!$C$18</f>
        <v>Option 1D</v>
      </c>
      <c r="D138" s="218"/>
      <c r="E138" s="220" t="s">
        <v>35</v>
      </c>
      <c r="F138" s="254">
        <v>0</v>
      </c>
      <c r="G138" s="254">
        <v>964659.36612217606</v>
      </c>
      <c r="H138" s="254">
        <v>274037.02993428282</v>
      </c>
      <c r="I138" s="254">
        <v>9911509.1759951543</v>
      </c>
      <c r="J138" s="254">
        <v>8351042.5527646812</v>
      </c>
      <c r="K138" s="254">
        <v>4212944.1263939627</v>
      </c>
      <c r="L138" s="254">
        <v>2.7680597493699417</v>
      </c>
      <c r="M138" s="254">
        <v>2.9181012137294484</v>
      </c>
      <c r="N138" s="254">
        <v>8387.7560655351826</v>
      </c>
      <c r="O138" s="254">
        <v>1876285.2575236997</v>
      </c>
      <c r="P138" s="254">
        <v>2233775.9011740522</v>
      </c>
      <c r="Q138" s="254">
        <v>1010025.6781573754</v>
      </c>
      <c r="R138" s="254">
        <v>1197035.1640233742</v>
      </c>
      <c r="S138" s="254">
        <v>5657321.8196247965</v>
      </c>
      <c r="T138" s="254">
        <v>4430047.2645645617</v>
      </c>
      <c r="U138" s="254">
        <v>5267377.8386016535</v>
      </c>
      <c r="V138" s="254">
        <v>11232188.675907603</v>
      </c>
      <c r="W138" s="254">
        <v>6736.8478066364523</v>
      </c>
      <c r="X138" s="254">
        <v>107963.26992094543</v>
      </c>
      <c r="Y138" s="254">
        <v>4888093.9197956165</v>
      </c>
      <c r="Z138" s="254">
        <v>19622977.101814017</v>
      </c>
      <c r="AA138" s="254">
        <v>12113942.598106969</v>
      </c>
      <c r="AB138" s="254">
        <v>8534631.7905763891</v>
      </c>
      <c r="AC138" s="254">
        <v>26127734.345385335</v>
      </c>
      <c r="AD138" s="254">
        <v>23818944.341749236</v>
      </c>
      <c r="AE138" s="254">
        <v>9.0123493230962879</v>
      </c>
      <c r="AF138" s="254"/>
      <c r="AG138" s="254"/>
      <c r="AH138" s="254"/>
      <c r="AI138" s="254"/>
      <c r="AJ138" s="262"/>
      <c r="AK138" s="262"/>
      <c r="AL138" s="262"/>
      <c r="AM138" s="262"/>
      <c r="AN138" s="262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62"/>
      <c r="BH138" s="262"/>
      <c r="BI138" s="262"/>
      <c r="BJ138" s="262"/>
      <c r="BK138" s="262"/>
      <c r="BL138" s="262"/>
      <c r="BM138" s="262"/>
      <c r="BN138" s="262"/>
      <c r="BO138" s="208"/>
      <c r="BP138" s="208"/>
      <c r="BQ138" s="208"/>
      <c r="BR138" s="208"/>
      <c r="BS138" s="208"/>
      <c r="BT138" s="208"/>
      <c r="BU138" s="208"/>
      <c r="BV138" s="208"/>
      <c r="BW138" s="208"/>
      <c r="BX138" s="208"/>
      <c r="BY138" s="208"/>
      <c r="BZ138" s="208"/>
      <c r="CA138" s="208"/>
      <c r="CB138" s="208"/>
      <c r="CC138" s="208"/>
      <c r="CD138" s="208"/>
      <c r="CE138" s="208"/>
      <c r="CF138" s="208"/>
      <c r="CG138" s="208"/>
      <c r="CH138" s="208"/>
      <c r="CI138" s="208"/>
      <c r="CJ138" s="208"/>
      <c r="CK138" s="208"/>
      <c r="CL138" s="208"/>
      <c r="CM138" s="208"/>
      <c r="CN138" s="208"/>
      <c r="CO138" s="208"/>
      <c r="CP138" s="208"/>
      <c r="CQ138" s="208"/>
      <c r="CR138" s="208"/>
      <c r="CS138" s="208"/>
    </row>
    <row r="139" spans="1:97" x14ac:dyDescent="0.25">
      <c r="E139" s="215"/>
      <c r="AF139" s="207"/>
      <c r="AG139" s="207"/>
      <c r="AH139" s="207"/>
      <c r="AI139" s="207"/>
      <c r="AJ139" s="208"/>
      <c r="AK139" s="208"/>
      <c r="AL139" s="208"/>
      <c r="AM139" s="208"/>
      <c r="AN139" s="208"/>
      <c r="AO139" s="208"/>
      <c r="AP139" s="208"/>
      <c r="AQ139" s="208"/>
      <c r="AR139" s="208"/>
      <c r="AS139" s="208"/>
      <c r="AT139" s="208"/>
      <c r="AU139" s="208"/>
      <c r="AV139" s="208"/>
      <c r="AW139" s="208"/>
      <c r="AX139" s="208"/>
      <c r="AY139" s="208"/>
      <c r="AZ139" s="208"/>
      <c r="BA139" s="208"/>
      <c r="BB139" s="208"/>
      <c r="BC139" s="208"/>
      <c r="BD139" s="208"/>
      <c r="BE139" s="208"/>
      <c r="BF139" s="208"/>
      <c r="BG139" s="208"/>
      <c r="BH139" s="208"/>
      <c r="BI139" s="208"/>
      <c r="BJ139" s="208"/>
      <c r="BK139" s="208"/>
      <c r="BL139" s="208"/>
      <c r="BM139" s="208"/>
      <c r="BN139" s="208"/>
      <c r="BO139" s="208"/>
      <c r="BP139" s="208"/>
      <c r="BQ139" s="208"/>
      <c r="BR139" s="208"/>
      <c r="BS139" s="208"/>
      <c r="BT139" s="208"/>
      <c r="BU139" s="208"/>
      <c r="BV139" s="208"/>
      <c r="BW139" s="208"/>
      <c r="BX139" s="208"/>
      <c r="BY139" s="208"/>
      <c r="BZ139" s="208"/>
      <c r="CA139" s="208"/>
      <c r="CB139" s="208"/>
      <c r="CC139" s="208"/>
      <c r="CD139" s="208"/>
      <c r="CE139" s="208"/>
      <c r="CF139" s="208"/>
      <c r="CG139" s="208"/>
      <c r="CH139" s="208"/>
      <c r="CI139" s="208"/>
      <c r="CJ139" s="208"/>
      <c r="CK139" s="208"/>
      <c r="CL139" s="208"/>
      <c r="CM139" s="208"/>
      <c r="CN139" s="208"/>
      <c r="CO139" s="208"/>
      <c r="CP139" s="208"/>
      <c r="CQ139" s="208"/>
      <c r="CR139" s="208"/>
      <c r="CS139" s="208"/>
    </row>
    <row r="140" spans="1:97" ht="13" x14ac:dyDescent="0.3">
      <c r="B140" s="165" t="s">
        <v>14</v>
      </c>
      <c r="C140" s="216" t="s">
        <v>13</v>
      </c>
      <c r="D140" s="216" t="str">
        <f>$D$50</f>
        <v>Neutral + lower emissions</v>
      </c>
      <c r="E140" s="217" t="s">
        <v>7</v>
      </c>
      <c r="F140" s="260" t="str">
        <f>Calculation!G$32</f>
        <v>FY 2019-20</v>
      </c>
      <c r="G140" s="260" t="str">
        <f>Calculation!H$32</f>
        <v>FY 2020-21</v>
      </c>
      <c r="H140" s="260" t="str">
        <f>Calculation!I$32</f>
        <v>FY 2021-22</v>
      </c>
      <c r="I140" s="260" t="str">
        <f>Calculation!J$32</f>
        <v>FY 2022-23</v>
      </c>
      <c r="J140" s="260" t="str">
        <f>Calculation!K$32</f>
        <v>FY 2023-24</v>
      </c>
      <c r="K140" s="260" t="str">
        <f>Calculation!L$32</f>
        <v>FY 2024-25</v>
      </c>
      <c r="L140" s="260" t="str">
        <f>Calculation!M$32</f>
        <v>FY 2025-26</v>
      </c>
      <c r="M140" s="260" t="str">
        <f>Calculation!N$32</f>
        <v>FY 2026-27</v>
      </c>
      <c r="N140" s="260" t="str">
        <f>Calculation!O$32</f>
        <v>FY 2027-28</v>
      </c>
      <c r="O140" s="260" t="str">
        <f>Calculation!P$32</f>
        <v>FY 2028-29</v>
      </c>
      <c r="P140" s="260" t="str">
        <f>Calculation!Q$32</f>
        <v>FY 2029-30</v>
      </c>
      <c r="Q140" s="260" t="str">
        <f>Calculation!R$32</f>
        <v>FY 2030-31</v>
      </c>
      <c r="R140" s="260" t="str">
        <f>Calculation!S$32</f>
        <v>FY 2031-32</v>
      </c>
      <c r="S140" s="260" t="str">
        <f>Calculation!T$32</f>
        <v>FY 2032-33</v>
      </c>
      <c r="T140" s="260" t="str">
        <f>Calculation!U$32</f>
        <v>FY 2033-34</v>
      </c>
      <c r="U140" s="260" t="str">
        <f>Calculation!V$32</f>
        <v>FY 2034-35</v>
      </c>
      <c r="V140" s="260" t="str">
        <f>Calculation!W$32</f>
        <v>FY 2035-36</v>
      </c>
      <c r="W140" s="260" t="str">
        <f>Calculation!X$32</f>
        <v>FY 2036-37</v>
      </c>
      <c r="X140" s="260" t="str">
        <f>Calculation!Y$32</f>
        <v>FY 2037-38</v>
      </c>
      <c r="Y140" s="260" t="str">
        <f>Calculation!Z$32</f>
        <v>FY 2038-39</v>
      </c>
      <c r="Z140" s="260" t="str">
        <f>Calculation!AA$32</f>
        <v>FY 2039-40</v>
      </c>
      <c r="AA140" s="260" t="str">
        <f>Calculation!AB$32</f>
        <v>FY 2040-41</v>
      </c>
      <c r="AB140" s="260" t="str">
        <f>Calculation!AC$32</f>
        <v>FY 2041-42</v>
      </c>
      <c r="AC140" s="260" t="str">
        <f>Calculation!AD$32</f>
        <v>FY 2042-43</v>
      </c>
      <c r="AD140" s="260" t="str">
        <f>Calculation!AE$32</f>
        <v>FY 2043-44</v>
      </c>
      <c r="AE140" s="260" t="str">
        <f>Calculation!AF$32</f>
        <v>FY 2044-45</v>
      </c>
      <c r="AF140" s="260" t="str">
        <f>Calculation!AG$32</f>
        <v>FY 2045-46</v>
      </c>
      <c r="AG140" s="260" t="str">
        <f>Calculation!AH$32</f>
        <v>FY 2046-47</v>
      </c>
      <c r="AH140" s="260" t="str">
        <f>Calculation!AI$32</f>
        <v>FY 2047-48</v>
      </c>
      <c r="AI140" s="260" t="str">
        <f>Calculation!AJ$32</f>
        <v>FY 2048-49</v>
      </c>
      <c r="AJ140" s="208"/>
      <c r="AK140" s="208"/>
      <c r="AL140" s="208"/>
      <c r="AM140" s="208"/>
      <c r="AN140" s="208"/>
      <c r="AO140" s="208"/>
      <c r="AP140" s="208"/>
      <c r="AQ140" s="208"/>
      <c r="AR140" s="208"/>
      <c r="AS140" s="208"/>
      <c r="AT140" s="208"/>
      <c r="AU140" s="208"/>
      <c r="AV140" s="208"/>
      <c r="AW140" s="208"/>
      <c r="AX140" s="208"/>
      <c r="AY140" s="208"/>
      <c r="AZ140" s="208"/>
      <c r="BA140" s="208"/>
      <c r="BB140" s="208"/>
      <c r="BC140" s="208"/>
      <c r="BD140" s="208"/>
      <c r="BE140" s="208"/>
      <c r="BF140" s="208"/>
      <c r="BG140" s="208"/>
      <c r="BH140" s="208"/>
      <c r="BI140" s="208"/>
      <c r="BJ140" s="208"/>
      <c r="BK140" s="208"/>
      <c r="BL140" s="208"/>
      <c r="BM140" s="208"/>
      <c r="BN140" s="208"/>
      <c r="BO140" s="208"/>
      <c r="BP140" s="208"/>
      <c r="BQ140" s="208"/>
      <c r="BR140" s="208"/>
      <c r="BS140" s="208"/>
      <c r="BT140" s="208"/>
      <c r="BU140" s="208"/>
      <c r="BV140" s="208"/>
      <c r="BW140" s="208"/>
      <c r="BX140" s="208"/>
      <c r="BY140" s="208"/>
      <c r="BZ140" s="208"/>
      <c r="CA140" s="208"/>
      <c r="CB140" s="208"/>
      <c r="CC140" s="208"/>
      <c r="CD140" s="208"/>
      <c r="CE140" s="208"/>
      <c r="CF140" s="208"/>
      <c r="CG140" s="208"/>
      <c r="CH140" s="208"/>
      <c r="CI140" s="208"/>
      <c r="CJ140" s="208"/>
      <c r="CK140" s="208"/>
      <c r="CL140" s="208"/>
      <c r="CM140" s="208"/>
      <c r="CN140" s="208"/>
      <c r="CO140" s="208"/>
      <c r="CP140" s="208"/>
      <c r="CQ140" s="208"/>
      <c r="CR140" s="208"/>
      <c r="CS140" s="208"/>
    </row>
    <row r="141" spans="1:97" x14ac:dyDescent="0.25">
      <c r="B141" s="220">
        <f>+'Option inputs'!$B$14</f>
        <v>0</v>
      </c>
      <c r="C141" s="261" t="str">
        <f>'Option inputs'!$C$14</f>
        <v>Base case</v>
      </c>
      <c r="D141" s="218"/>
      <c r="E141" s="220" t="s">
        <v>35</v>
      </c>
      <c r="F141" s="254">
        <v>0</v>
      </c>
      <c r="G141" s="254">
        <v>30257.207259009898</v>
      </c>
      <c r="H141" s="254">
        <v>274038.38951541734</v>
      </c>
      <c r="I141" s="254">
        <v>4486113.9134388771</v>
      </c>
      <c r="J141" s="254">
        <v>7967506.059596424</v>
      </c>
      <c r="K141" s="254">
        <v>8108489.0487647103</v>
      </c>
      <c r="L141" s="254">
        <v>4.6918231258895506</v>
      </c>
      <c r="M141" s="254">
        <v>4.866360867130723</v>
      </c>
      <c r="N141" s="254">
        <v>5.387578414591907</v>
      </c>
      <c r="O141" s="254">
        <v>1341240.0782238534</v>
      </c>
      <c r="P141" s="254">
        <v>1341503.9146519378</v>
      </c>
      <c r="Q141" s="254">
        <v>803901.09170322132</v>
      </c>
      <c r="R141" s="254">
        <v>1479486.0831282598</v>
      </c>
      <c r="S141" s="254">
        <v>2228401.0800477369</v>
      </c>
      <c r="T141" s="254">
        <v>5654178.5230925474</v>
      </c>
      <c r="U141" s="254">
        <v>5081653.0842889464</v>
      </c>
      <c r="V141" s="254">
        <v>15911818.129631041</v>
      </c>
      <c r="W141" s="254">
        <v>9.4505154819623627</v>
      </c>
      <c r="X141" s="254">
        <v>10.075159286767136</v>
      </c>
      <c r="Y141" s="254">
        <v>3880261.3326612501</v>
      </c>
      <c r="Z141" s="254">
        <v>21487511.064517178</v>
      </c>
      <c r="AA141" s="254">
        <v>8489954.1188681871</v>
      </c>
      <c r="AB141" s="254">
        <v>25940697.18496047</v>
      </c>
      <c r="AC141" s="254">
        <v>25824716.297699545</v>
      </c>
      <c r="AD141" s="254">
        <v>278031181.82465214</v>
      </c>
      <c r="AE141" s="254">
        <v>452728883.2412383</v>
      </c>
      <c r="AF141" s="254"/>
      <c r="AG141" s="254"/>
      <c r="AH141" s="254"/>
      <c r="AI141" s="254"/>
      <c r="AJ141" s="262"/>
      <c r="AK141" s="262"/>
      <c r="AL141" s="262"/>
      <c r="AM141" s="262"/>
      <c r="AN141" s="262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62"/>
      <c r="BH141" s="262"/>
      <c r="BI141" s="262"/>
      <c r="BJ141" s="262"/>
      <c r="BK141" s="262"/>
      <c r="BL141" s="262"/>
      <c r="BM141" s="262"/>
      <c r="BN141" s="262"/>
      <c r="BO141" s="208"/>
      <c r="BP141" s="208"/>
      <c r="BQ141" s="208"/>
      <c r="BR141" s="208"/>
      <c r="BS141" s="208"/>
      <c r="BT141" s="208"/>
      <c r="BU141" s="208"/>
      <c r="BV141" s="208"/>
      <c r="BW141" s="208"/>
      <c r="BX141" s="208"/>
      <c r="BY141" s="208"/>
      <c r="BZ141" s="208"/>
      <c r="CA141" s="208"/>
      <c r="CB141" s="208"/>
      <c r="CC141" s="208"/>
      <c r="CD141" s="208"/>
      <c r="CE141" s="208"/>
      <c r="CF141" s="208"/>
      <c r="CG141" s="208"/>
      <c r="CH141" s="208"/>
      <c r="CI141" s="208"/>
      <c r="CJ141" s="208"/>
      <c r="CK141" s="208"/>
      <c r="CL141" s="208"/>
      <c r="CM141" s="208"/>
      <c r="CN141" s="208"/>
      <c r="CO141" s="208"/>
      <c r="CP141" s="208"/>
      <c r="CQ141" s="208"/>
      <c r="CR141" s="208"/>
      <c r="CS141" s="208"/>
    </row>
    <row r="142" spans="1:97" x14ac:dyDescent="0.25">
      <c r="B142" s="220">
        <f>+'Option inputs'!$B$15</f>
        <v>1</v>
      </c>
      <c r="C142" s="263" t="str">
        <f>'Option inputs'!$C$15</f>
        <v>Option 1A</v>
      </c>
      <c r="D142" s="218"/>
      <c r="E142" s="220" t="s">
        <v>35</v>
      </c>
      <c r="F142" s="254">
        <v>0</v>
      </c>
      <c r="G142" s="254">
        <v>30257.083060506098</v>
      </c>
      <c r="H142" s="254">
        <v>274038.26255205786</v>
      </c>
      <c r="I142" s="254">
        <v>4159354.6475360547</v>
      </c>
      <c r="J142" s="254">
        <v>8314906.7510657916</v>
      </c>
      <c r="K142" s="254">
        <v>8195902.924727167</v>
      </c>
      <c r="L142" s="254">
        <v>4.5180024305459217</v>
      </c>
      <c r="M142" s="254">
        <v>4.6850260764466283</v>
      </c>
      <c r="N142" s="254">
        <v>5.1855504824924896</v>
      </c>
      <c r="O142" s="254">
        <v>1395528.4180636955</v>
      </c>
      <c r="P142" s="254">
        <v>1355213.030560161</v>
      </c>
      <c r="Q142" s="254">
        <v>788289.13185556803</v>
      </c>
      <c r="R142" s="254">
        <v>1442863.1992972021</v>
      </c>
      <c r="S142" s="254">
        <v>2354349.4998421366</v>
      </c>
      <c r="T142" s="254">
        <v>4624223.0118883122</v>
      </c>
      <c r="U142" s="254">
        <v>3293545.4458053522</v>
      </c>
      <c r="V142" s="254">
        <v>10719862.887261413</v>
      </c>
      <c r="W142" s="254">
        <v>9.1011368183966486</v>
      </c>
      <c r="X142" s="254">
        <v>9.6964023157690651</v>
      </c>
      <c r="Y142" s="254">
        <v>3826094.4959506895</v>
      </c>
      <c r="Z142" s="254">
        <v>13446324.583863314</v>
      </c>
      <c r="AA142" s="254">
        <v>6998124.6389456624</v>
      </c>
      <c r="AB142" s="254">
        <v>10078488.21501424</v>
      </c>
      <c r="AC142" s="254">
        <v>20521946.024140481</v>
      </c>
      <c r="AD142" s="254">
        <v>250034775.79125184</v>
      </c>
      <c r="AE142" s="254">
        <v>405675888.45261145</v>
      </c>
      <c r="AF142" s="254"/>
      <c r="AG142" s="254"/>
      <c r="AH142" s="254"/>
      <c r="AI142" s="254"/>
      <c r="AJ142" s="262"/>
      <c r="AK142" s="262"/>
      <c r="AL142" s="262"/>
      <c r="AM142" s="262"/>
      <c r="AN142" s="262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62"/>
      <c r="BH142" s="262"/>
      <c r="BI142" s="262"/>
      <c r="BJ142" s="262"/>
      <c r="BK142" s="262"/>
      <c r="BL142" s="262"/>
      <c r="BM142" s="262"/>
      <c r="BN142" s="262"/>
      <c r="BO142" s="208"/>
      <c r="BP142" s="208"/>
      <c r="BQ142" s="208"/>
      <c r="BR142" s="208"/>
      <c r="BS142" s="208"/>
      <c r="BT142" s="208"/>
      <c r="BU142" s="208"/>
      <c r="BV142" s="208"/>
      <c r="BW142" s="208"/>
      <c r="BX142" s="208"/>
      <c r="BY142" s="208"/>
      <c r="BZ142" s="208"/>
      <c r="CA142" s="208"/>
      <c r="CB142" s="208"/>
      <c r="CC142" s="208"/>
      <c r="CD142" s="208"/>
      <c r="CE142" s="208"/>
      <c r="CF142" s="208"/>
      <c r="CG142" s="208"/>
      <c r="CH142" s="208"/>
      <c r="CI142" s="208"/>
      <c r="CJ142" s="208"/>
      <c r="CK142" s="208"/>
      <c r="CL142" s="208"/>
      <c r="CM142" s="208"/>
      <c r="CN142" s="208"/>
      <c r="CO142" s="208"/>
      <c r="CP142" s="208"/>
      <c r="CQ142" s="208"/>
      <c r="CR142" s="208"/>
      <c r="CS142" s="208"/>
    </row>
    <row r="143" spans="1:97" x14ac:dyDescent="0.25">
      <c r="B143" s="220">
        <f>+'Option inputs'!$B$16</f>
        <v>2</v>
      </c>
      <c r="C143" s="263" t="str">
        <f>'Option inputs'!$C$16</f>
        <v>Option 1B</v>
      </c>
      <c r="D143" s="218"/>
      <c r="E143" s="220" t="s">
        <v>35</v>
      </c>
      <c r="F143" s="254">
        <v>0</v>
      </c>
      <c r="G143" s="254">
        <v>30260.89706650874</v>
      </c>
      <c r="H143" s="254">
        <v>274042.26757717005</v>
      </c>
      <c r="I143" s="254">
        <v>4410985.2339917812</v>
      </c>
      <c r="J143" s="254">
        <v>8568739.7244730033</v>
      </c>
      <c r="K143" s="254">
        <v>8191442.2911446393</v>
      </c>
      <c r="L143" s="254">
        <v>9.8523103885709045</v>
      </c>
      <c r="M143" s="254">
        <v>10.215793497155415</v>
      </c>
      <c r="N143" s="254">
        <v>11.312903454302132</v>
      </c>
      <c r="O143" s="254">
        <v>1435434.1989702396</v>
      </c>
      <c r="P143" s="254">
        <v>1329695.0450379755</v>
      </c>
      <c r="Q143" s="254">
        <v>795165.72696567921</v>
      </c>
      <c r="R143" s="254">
        <v>1535904.4605225178</v>
      </c>
      <c r="S143" s="254">
        <v>2355096.2792822318</v>
      </c>
      <c r="T143" s="254">
        <v>5641719.2550848965</v>
      </c>
      <c r="U143" s="254">
        <v>5319925.0212410595</v>
      </c>
      <c r="V143" s="254">
        <v>16524981.923363123</v>
      </c>
      <c r="W143" s="254">
        <v>19.852243552723845</v>
      </c>
      <c r="X143" s="254">
        <v>21.168111356736198</v>
      </c>
      <c r="Y143" s="254">
        <v>3825267.9036874017</v>
      </c>
      <c r="Z143" s="254">
        <v>21478969.545550801</v>
      </c>
      <c r="AA143" s="254">
        <v>9124509.5909880176</v>
      </c>
      <c r="AB143" s="254">
        <v>10968511.040088288</v>
      </c>
      <c r="AC143" s="254">
        <v>24666590.804200932</v>
      </c>
      <c r="AD143" s="254">
        <v>251896042.5394482</v>
      </c>
      <c r="AE143" s="254">
        <v>411117446.57399988</v>
      </c>
      <c r="AF143" s="254"/>
      <c r="AG143" s="254"/>
      <c r="AH143" s="254"/>
      <c r="AI143" s="254"/>
      <c r="AJ143" s="262"/>
      <c r="AK143" s="262"/>
      <c r="AL143" s="262"/>
      <c r="AM143" s="262"/>
      <c r="AN143" s="262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62"/>
      <c r="BH143" s="262"/>
      <c r="BI143" s="262"/>
      <c r="BJ143" s="262"/>
      <c r="BK143" s="262"/>
      <c r="BL143" s="262"/>
      <c r="BM143" s="262"/>
      <c r="BN143" s="262"/>
      <c r="BO143" s="208"/>
      <c r="BP143" s="208"/>
      <c r="BQ143" s="208"/>
      <c r="BR143" s="208"/>
      <c r="BS143" s="208"/>
      <c r="BT143" s="208"/>
      <c r="BU143" s="208"/>
      <c r="BV143" s="208"/>
      <c r="BW143" s="208"/>
      <c r="BX143" s="208"/>
      <c r="BY143" s="208"/>
      <c r="BZ143" s="208"/>
      <c r="CA143" s="208"/>
      <c r="CB143" s="208"/>
      <c r="CC143" s="208"/>
      <c r="CD143" s="208"/>
      <c r="CE143" s="208"/>
      <c r="CF143" s="208"/>
      <c r="CG143" s="208"/>
      <c r="CH143" s="208"/>
      <c r="CI143" s="208"/>
      <c r="CJ143" s="208"/>
      <c r="CK143" s="208"/>
      <c r="CL143" s="208"/>
      <c r="CM143" s="208"/>
      <c r="CN143" s="208"/>
      <c r="CO143" s="208"/>
      <c r="CP143" s="208"/>
      <c r="CQ143" s="208"/>
      <c r="CR143" s="208"/>
      <c r="CS143" s="208"/>
    </row>
    <row r="144" spans="1:97" x14ac:dyDescent="0.25">
      <c r="B144" s="220">
        <f>+'Option inputs'!$B$17</f>
        <v>3</v>
      </c>
      <c r="C144" s="263" t="str">
        <f>'Option inputs'!$C$17</f>
        <v>Option 1C</v>
      </c>
      <c r="D144" s="218"/>
      <c r="E144" s="220" t="s">
        <v>35</v>
      </c>
      <c r="F144" s="254">
        <v>0</v>
      </c>
      <c r="G144" s="254">
        <v>30256.441302006773</v>
      </c>
      <c r="H144" s="254">
        <v>274037.59078574897</v>
      </c>
      <c r="I144" s="254">
        <v>3895503.4098674175</v>
      </c>
      <c r="J144" s="254">
        <v>7982680.3055785904</v>
      </c>
      <c r="K144" s="254">
        <v>8098422.9567255499</v>
      </c>
      <c r="L144" s="254">
        <v>3.6222630611012545</v>
      </c>
      <c r="M144" s="254">
        <v>3.7565447478720277</v>
      </c>
      <c r="N144" s="254">
        <v>4.1595018917597892</v>
      </c>
      <c r="O144" s="254">
        <v>1305364.4430450962</v>
      </c>
      <c r="P144" s="254">
        <v>1343085.6099967533</v>
      </c>
      <c r="Q144" s="254">
        <v>711283.36300399352</v>
      </c>
      <c r="R144" s="254">
        <v>1423569.5296479659</v>
      </c>
      <c r="S144" s="254">
        <v>2109708.0411352427</v>
      </c>
      <c r="T144" s="254">
        <v>4616039.1543006571</v>
      </c>
      <c r="U144" s="254">
        <v>3352646.7264734721</v>
      </c>
      <c r="V144" s="254">
        <v>11442974.575701384</v>
      </c>
      <c r="W144" s="254">
        <v>7.2898228369303366</v>
      </c>
      <c r="X144" s="254">
        <v>7.7720933421368548</v>
      </c>
      <c r="Y144" s="254">
        <v>3880542.189092827</v>
      </c>
      <c r="Z144" s="254">
        <v>13788008.064507745</v>
      </c>
      <c r="AA144" s="254">
        <v>6443274.5965325246</v>
      </c>
      <c r="AB144" s="254">
        <v>25117576.395358954</v>
      </c>
      <c r="AC144" s="254">
        <v>22142057.839374769</v>
      </c>
      <c r="AD144" s="254">
        <v>280322355.78602809</v>
      </c>
      <c r="AE144" s="254">
        <v>455829912.45983166</v>
      </c>
      <c r="AF144" s="254"/>
      <c r="AG144" s="254"/>
      <c r="AH144" s="254"/>
      <c r="AI144" s="254"/>
      <c r="AJ144" s="262"/>
      <c r="AK144" s="262"/>
      <c r="AL144" s="262"/>
      <c r="AM144" s="262"/>
      <c r="AN144" s="262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62"/>
      <c r="BH144" s="262"/>
      <c r="BI144" s="262"/>
      <c r="BJ144" s="262"/>
      <c r="BK144" s="262"/>
      <c r="BL144" s="262"/>
      <c r="BM144" s="262"/>
      <c r="BN144" s="262"/>
      <c r="BO144" s="208"/>
      <c r="BP144" s="208"/>
      <c r="BQ144" s="208"/>
      <c r="BR144" s="208"/>
      <c r="BS144" s="208"/>
      <c r="BT144" s="208"/>
      <c r="BU144" s="208"/>
      <c r="BV144" s="208"/>
      <c r="BW144" s="208"/>
      <c r="BX144" s="208"/>
      <c r="BY144" s="208"/>
      <c r="BZ144" s="208"/>
      <c r="CA144" s="208"/>
      <c r="CB144" s="208"/>
      <c r="CC144" s="208"/>
      <c r="CD144" s="208"/>
      <c r="CE144" s="208"/>
      <c r="CF144" s="208"/>
      <c r="CG144" s="208"/>
      <c r="CH144" s="208"/>
      <c r="CI144" s="208"/>
      <c r="CJ144" s="208"/>
      <c r="CK144" s="208"/>
      <c r="CL144" s="208"/>
      <c r="CM144" s="208"/>
      <c r="CN144" s="208"/>
      <c r="CO144" s="208"/>
      <c r="CP144" s="208"/>
      <c r="CQ144" s="208"/>
      <c r="CR144" s="208"/>
      <c r="CS144" s="208"/>
    </row>
    <row r="145" spans="2:97" x14ac:dyDescent="0.25">
      <c r="B145" s="220">
        <f>+'Option inputs'!$B$18</f>
        <v>4</v>
      </c>
      <c r="C145" s="263" t="str">
        <f>'Option inputs'!$C$18</f>
        <v>Option 1D</v>
      </c>
      <c r="D145" s="218"/>
      <c r="E145" s="220" t="s">
        <v>35</v>
      </c>
      <c r="F145" s="254">
        <v>0</v>
      </c>
      <c r="G145" s="254">
        <v>30261.12770376775</v>
      </c>
      <c r="H145" s="254">
        <v>274042.52320694498</v>
      </c>
      <c r="I145" s="254">
        <v>4163959.1003584624</v>
      </c>
      <c r="J145" s="254">
        <v>7980980.9019644782</v>
      </c>
      <c r="K145" s="254">
        <v>8079534.0292584952</v>
      </c>
      <c r="L145" s="254">
        <v>10.169185906084632</v>
      </c>
      <c r="M145" s="254">
        <v>10.547443217717927</v>
      </c>
      <c r="N145" s="254">
        <v>11.677340885541909</v>
      </c>
      <c r="O145" s="254">
        <v>1303900.3825725636</v>
      </c>
      <c r="P145" s="254">
        <v>1342763.0125133053</v>
      </c>
      <c r="Q145" s="254">
        <v>710053.34587676218</v>
      </c>
      <c r="R145" s="254">
        <v>1468914.7817061027</v>
      </c>
      <c r="S145" s="254">
        <v>2109718.3370234678</v>
      </c>
      <c r="T145" s="254">
        <v>4987425.2846756289</v>
      </c>
      <c r="U145" s="254">
        <v>4174712.0595712014</v>
      </c>
      <c r="V145" s="254">
        <v>15917553.164946131</v>
      </c>
      <c r="W145" s="254">
        <v>20.464720040335521</v>
      </c>
      <c r="X145" s="254">
        <v>21.822408551937379</v>
      </c>
      <c r="Y145" s="254">
        <v>3887819.315703738</v>
      </c>
      <c r="Z145" s="254">
        <v>21608109.500427559</v>
      </c>
      <c r="AA145" s="254">
        <v>8383677.6454939712</v>
      </c>
      <c r="AB145" s="254">
        <v>25423655.501813926</v>
      </c>
      <c r="AC145" s="254">
        <v>25336860.218873531</v>
      </c>
      <c r="AD145" s="254">
        <v>278834866.39188695</v>
      </c>
      <c r="AE145" s="254">
        <v>451029638.9378221</v>
      </c>
      <c r="AF145" s="254"/>
      <c r="AG145" s="254"/>
      <c r="AH145" s="254"/>
      <c r="AI145" s="254"/>
      <c r="AJ145" s="262"/>
      <c r="AK145" s="262"/>
      <c r="AL145" s="262"/>
      <c r="AM145" s="262"/>
      <c r="AN145" s="262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62"/>
      <c r="BH145" s="262"/>
      <c r="BI145" s="262"/>
      <c r="BJ145" s="262"/>
      <c r="BK145" s="262"/>
      <c r="BL145" s="262"/>
      <c r="BM145" s="262"/>
      <c r="BN145" s="262"/>
      <c r="BO145" s="208"/>
      <c r="BP145" s="208"/>
      <c r="BQ145" s="208"/>
      <c r="BR145" s="208"/>
      <c r="BS145" s="208"/>
      <c r="BT145" s="208"/>
      <c r="BU145" s="208"/>
      <c r="BV145" s="208"/>
      <c r="BW145" s="208"/>
      <c r="BX145" s="208"/>
      <c r="BY145" s="208"/>
      <c r="BZ145" s="208"/>
      <c r="CA145" s="208"/>
      <c r="CB145" s="208"/>
      <c r="CC145" s="208"/>
      <c r="CD145" s="208"/>
      <c r="CE145" s="208"/>
      <c r="CF145" s="208"/>
      <c r="CG145" s="208"/>
      <c r="CH145" s="208"/>
      <c r="CI145" s="208"/>
      <c r="CJ145" s="208"/>
      <c r="CK145" s="208"/>
      <c r="CL145" s="208"/>
      <c r="CM145" s="208"/>
      <c r="CN145" s="208"/>
      <c r="CO145" s="208"/>
      <c r="CP145" s="208"/>
      <c r="CQ145" s="208"/>
      <c r="CR145" s="208"/>
      <c r="CS145" s="208"/>
    </row>
    <row r="146" spans="2:97" x14ac:dyDescent="0.25">
      <c r="E146" s="215"/>
      <c r="AF146" s="207"/>
      <c r="AG146" s="207"/>
      <c r="AH146" s="207"/>
      <c r="AI146" s="207"/>
      <c r="AJ146" s="208"/>
      <c r="AK146" s="208"/>
      <c r="AL146" s="208"/>
      <c r="AM146" s="208"/>
      <c r="AN146" s="208"/>
      <c r="AO146" s="208"/>
      <c r="AP146" s="208"/>
      <c r="AQ146" s="208"/>
      <c r="AR146" s="208"/>
      <c r="AS146" s="208"/>
      <c r="AT146" s="208"/>
      <c r="AU146" s="208"/>
      <c r="AV146" s="208"/>
      <c r="AW146" s="208"/>
      <c r="AX146" s="208"/>
      <c r="AY146" s="208"/>
      <c r="AZ146" s="208"/>
      <c r="BA146" s="208"/>
      <c r="BB146" s="208"/>
      <c r="BC146" s="208"/>
      <c r="BD146" s="208"/>
      <c r="BE146" s="208"/>
      <c r="BF146" s="208"/>
      <c r="BG146" s="208"/>
      <c r="BH146" s="208"/>
      <c r="BI146" s="208"/>
      <c r="BJ146" s="208"/>
      <c r="BK146" s="208"/>
      <c r="BL146" s="208"/>
      <c r="BM146" s="208"/>
      <c r="BN146" s="208"/>
      <c r="BO146" s="208"/>
      <c r="BP146" s="208"/>
      <c r="BQ146" s="208"/>
      <c r="BR146" s="208"/>
      <c r="BS146" s="208"/>
      <c r="BT146" s="208"/>
      <c r="BU146" s="208"/>
      <c r="BV146" s="208"/>
      <c r="BW146" s="208"/>
      <c r="BX146" s="208"/>
      <c r="BY146" s="208"/>
      <c r="BZ146" s="208"/>
      <c r="CA146" s="208"/>
      <c r="CB146" s="208"/>
      <c r="CC146" s="208"/>
      <c r="CD146" s="208"/>
      <c r="CE146" s="208"/>
      <c r="CF146" s="208"/>
      <c r="CG146" s="208"/>
      <c r="CH146" s="208"/>
      <c r="CI146" s="208"/>
      <c r="CJ146" s="208"/>
      <c r="CK146" s="208"/>
      <c r="CL146" s="208"/>
      <c r="CM146" s="208"/>
      <c r="CN146" s="208"/>
      <c r="CO146" s="208"/>
      <c r="CP146" s="208"/>
      <c r="CQ146" s="208"/>
      <c r="CR146" s="208"/>
      <c r="CS146" s="208"/>
    </row>
    <row r="147" spans="2:97" ht="13" x14ac:dyDescent="0.3">
      <c r="B147" s="165" t="s">
        <v>14</v>
      </c>
      <c r="C147" s="216" t="s">
        <v>13</v>
      </c>
      <c r="D147" s="165" t="s">
        <v>86</v>
      </c>
      <c r="E147" s="217" t="s">
        <v>7</v>
      </c>
      <c r="F147" s="260" t="str">
        <f>Calculation!G$32</f>
        <v>FY 2019-20</v>
      </c>
      <c r="G147" s="260" t="str">
        <f>Calculation!H$32</f>
        <v>FY 2020-21</v>
      </c>
      <c r="H147" s="260" t="str">
        <f>Calculation!I$32</f>
        <v>FY 2021-22</v>
      </c>
      <c r="I147" s="260" t="str">
        <f>Calculation!J$32</f>
        <v>FY 2022-23</v>
      </c>
      <c r="J147" s="260" t="str">
        <f>Calculation!K$32</f>
        <v>FY 2023-24</v>
      </c>
      <c r="K147" s="260" t="str">
        <f>Calculation!L$32</f>
        <v>FY 2024-25</v>
      </c>
      <c r="L147" s="260" t="str">
        <f>Calculation!M$32</f>
        <v>FY 2025-26</v>
      </c>
      <c r="M147" s="260" t="str">
        <f>Calculation!N$32</f>
        <v>FY 2026-27</v>
      </c>
      <c r="N147" s="260" t="str">
        <f>Calculation!O$32</f>
        <v>FY 2027-28</v>
      </c>
      <c r="O147" s="260" t="str">
        <f>Calculation!P$32</f>
        <v>FY 2028-29</v>
      </c>
      <c r="P147" s="260" t="str">
        <f>Calculation!Q$32</f>
        <v>FY 2029-30</v>
      </c>
      <c r="Q147" s="260" t="str">
        <f>Calculation!R$32</f>
        <v>FY 2030-31</v>
      </c>
      <c r="R147" s="260" t="str">
        <f>Calculation!S$32</f>
        <v>FY 2031-32</v>
      </c>
      <c r="S147" s="260" t="str">
        <f>Calculation!T$32</f>
        <v>FY 2032-33</v>
      </c>
      <c r="T147" s="260" t="str">
        <f>Calculation!U$32</f>
        <v>FY 2033-34</v>
      </c>
      <c r="U147" s="260" t="str">
        <f>Calculation!V$32</f>
        <v>FY 2034-35</v>
      </c>
      <c r="V147" s="260" t="str">
        <f>Calculation!W$32</f>
        <v>FY 2035-36</v>
      </c>
      <c r="W147" s="260" t="str">
        <f>Calculation!X$32</f>
        <v>FY 2036-37</v>
      </c>
      <c r="X147" s="260" t="str">
        <f>Calculation!Y$32</f>
        <v>FY 2037-38</v>
      </c>
      <c r="Y147" s="260" t="str">
        <f>Calculation!Z$32</f>
        <v>FY 2038-39</v>
      </c>
      <c r="Z147" s="260" t="str">
        <f>Calculation!AA$32</f>
        <v>FY 2039-40</v>
      </c>
      <c r="AA147" s="260" t="str">
        <f>Calculation!AB$32</f>
        <v>FY 2040-41</v>
      </c>
      <c r="AB147" s="260" t="str">
        <f>Calculation!AC$32</f>
        <v>FY 2041-42</v>
      </c>
      <c r="AC147" s="260" t="str">
        <f>Calculation!AD$32</f>
        <v>FY 2042-43</v>
      </c>
      <c r="AD147" s="260" t="str">
        <f>Calculation!AE$32</f>
        <v>FY 2043-44</v>
      </c>
      <c r="AE147" s="260" t="str">
        <f>Calculation!AF$32</f>
        <v>FY 2044-45</v>
      </c>
      <c r="AF147" s="260" t="str">
        <f>Calculation!AG$32</f>
        <v>FY 2045-46</v>
      </c>
      <c r="AG147" s="260" t="str">
        <f>Calculation!AH$32</f>
        <v>FY 2046-47</v>
      </c>
      <c r="AH147" s="260" t="str">
        <f>Calculation!AI$32</f>
        <v>FY 2047-48</v>
      </c>
      <c r="AI147" s="260" t="str">
        <f>Calculation!AJ$32</f>
        <v>FY 2048-49</v>
      </c>
      <c r="AJ147" s="208"/>
      <c r="AK147" s="208"/>
      <c r="AL147" s="208"/>
      <c r="AM147" s="208"/>
      <c r="AN147" s="208"/>
      <c r="AO147" s="208"/>
      <c r="AP147" s="208"/>
      <c r="AQ147" s="208"/>
      <c r="AR147" s="208"/>
      <c r="AS147" s="208"/>
      <c r="AT147" s="208"/>
      <c r="AU147" s="208"/>
      <c r="AV147" s="208"/>
      <c r="AW147" s="208"/>
      <c r="AX147" s="208"/>
      <c r="AY147" s="208"/>
      <c r="AZ147" s="208"/>
      <c r="BA147" s="208"/>
      <c r="BB147" s="208"/>
      <c r="BC147" s="208"/>
      <c r="BD147" s="208"/>
      <c r="BE147" s="208"/>
      <c r="BF147" s="208"/>
      <c r="BG147" s="208"/>
      <c r="BH147" s="208"/>
      <c r="BI147" s="208"/>
      <c r="BJ147" s="208"/>
      <c r="BK147" s="208"/>
      <c r="BL147" s="208"/>
      <c r="BM147" s="208"/>
      <c r="BN147" s="208"/>
      <c r="BO147" s="208"/>
      <c r="BP147" s="208"/>
      <c r="BQ147" s="208"/>
      <c r="BR147" s="208"/>
      <c r="BS147" s="208"/>
      <c r="BT147" s="208"/>
      <c r="BU147" s="208"/>
      <c r="BV147" s="208"/>
      <c r="BW147" s="208"/>
      <c r="BX147" s="208"/>
      <c r="BY147" s="208"/>
      <c r="BZ147" s="208"/>
      <c r="CA147" s="208"/>
      <c r="CB147" s="208"/>
      <c r="CC147" s="208"/>
      <c r="CD147" s="208"/>
      <c r="CE147" s="208"/>
      <c r="CF147" s="208"/>
      <c r="CG147" s="208"/>
      <c r="CH147" s="208"/>
      <c r="CI147" s="208"/>
      <c r="CJ147" s="208"/>
      <c r="CK147" s="208"/>
      <c r="CL147" s="208"/>
      <c r="CM147" s="208"/>
      <c r="CN147" s="208"/>
      <c r="CO147" s="208"/>
      <c r="CP147" s="208"/>
      <c r="CQ147" s="208"/>
      <c r="CR147" s="208"/>
      <c r="CS147" s="208"/>
    </row>
    <row r="148" spans="2:97" x14ac:dyDescent="0.25">
      <c r="B148" s="220">
        <f>+'Option inputs'!$B$14</f>
        <v>0</v>
      </c>
      <c r="C148" s="261" t="str">
        <f>'Option inputs'!$C$14</f>
        <v>Base case</v>
      </c>
      <c r="D148" s="218"/>
      <c r="E148" s="220" t="s">
        <v>35</v>
      </c>
      <c r="F148" s="254">
        <v>0</v>
      </c>
      <c r="G148" s="254">
        <v>239927.22235132349</v>
      </c>
      <c r="H148" s="254">
        <v>53988.714527286895</v>
      </c>
      <c r="I148" s="254">
        <v>886699.72422253806</v>
      </c>
      <c r="J148" s="254">
        <v>601182.69614380039</v>
      </c>
      <c r="K148" s="254">
        <v>891458.04122646351</v>
      </c>
      <c r="L148" s="254">
        <v>814959.81712268305</v>
      </c>
      <c r="M148" s="254">
        <v>632693.56493963592</v>
      </c>
      <c r="N148" s="254">
        <v>850511.18930889375</v>
      </c>
      <c r="O148" s="254">
        <v>2769068.879371088</v>
      </c>
      <c r="P148" s="254">
        <v>781430.68030828191</v>
      </c>
      <c r="Q148" s="254">
        <v>8.3294380983027985</v>
      </c>
      <c r="R148" s="254">
        <v>928684.02963308478</v>
      </c>
      <c r="S148" s="254">
        <v>2603844.3817040506</v>
      </c>
      <c r="T148" s="254">
        <v>2812590.0589430653</v>
      </c>
      <c r="U148" s="254">
        <v>1483575.7521548478</v>
      </c>
      <c r="V148" s="254">
        <v>3712310.6170373242</v>
      </c>
      <c r="W148" s="254">
        <v>2328456.8199678338</v>
      </c>
      <c r="X148" s="254">
        <v>3843431.7710266584</v>
      </c>
      <c r="Y148" s="254">
        <v>3609805.2738932236</v>
      </c>
      <c r="Z148" s="254">
        <v>6529554.1032869499</v>
      </c>
      <c r="AA148" s="254">
        <v>4784410.6049447721</v>
      </c>
      <c r="AB148" s="254">
        <v>3941438.1594599816</v>
      </c>
      <c r="AC148" s="254">
        <v>7903844.891707141</v>
      </c>
      <c r="AD148" s="254">
        <v>5277497.4452390745</v>
      </c>
      <c r="AE148" s="254">
        <v>145424.35969571004</v>
      </c>
      <c r="AF148" s="254"/>
      <c r="AG148" s="254"/>
      <c r="AH148" s="254"/>
      <c r="AI148" s="254"/>
      <c r="AJ148" s="262"/>
      <c r="AK148" s="262"/>
      <c r="AL148" s="262"/>
      <c r="AM148" s="262"/>
      <c r="AN148" s="262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62"/>
      <c r="BH148" s="262"/>
      <c r="BI148" s="262"/>
      <c r="BJ148" s="262"/>
      <c r="BK148" s="262"/>
      <c r="BL148" s="262"/>
      <c r="BM148" s="262"/>
      <c r="BN148" s="262"/>
      <c r="BO148" s="208"/>
      <c r="BP148" s="208"/>
      <c r="BQ148" s="208"/>
      <c r="BR148" s="208"/>
      <c r="BS148" s="208"/>
      <c r="BT148" s="208"/>
      <c r="BU148" s="208"/>
      <c r="BV148" s="208"/>
      <c r="BW148" s="208"/>
      <c r="BX148" s="208"/>
      <c r="BY148" s="208"/>
      <c r="BZ148" s="208"/>
      <c r="CA148" s="208"/>
      <c r="CB148" s="208"/>
      <c r="CC148" s="208"/>
      <c r="CD148" s="208"/>
      <c r="CE148" s="208"/>
      <c r="CF148" s="208"/>
      <c r="CG148" s="208"/>
      <c r="CH148" s="208"/>
      <c r="CI148" s="208"/>
      <c r="CJ148" s="208"/>
      <c r="CK148" s="208"/>
      <c r="CL148" s="208"/>
      <c r="CM148" s="208"/>
      <c r="CN148" s="208"/>
      <c r="CO148" s="208"/>
      <c r="CP148" s="208"/>
      <c r="CQ148" s="208"/>
      <c r="CR148" s="208"/>
      <c r="CS148" s="208"/>
    </row>
    <row r="149" spans="2:97" x14ac:dyDescent="0.25">
      <c r="B149" s="220">
        <f>+'Option inputs'!$B$15</f>
        <v>1</v>
      </c>
      <c r="C149" s="263" t="str">
        <f>'Option inputs'!$C$15</f>
        <v>Option 1A</v>
      </c>
      <c r="D149" s="218"/>
      <c r="E149" s="220" t="s">
        <v>35</v>
      </c>
      <c r="F149" s="254">
        <v>0</v>
      </c>
      <c r="G149" s="254">
        <v>239922.65723008502</v>
      </c>
      <c r="H149" s="254">
        <v>53983.910172815034</v>
      </c>
      <c r="I149" s="254">
        <v>893640.67751404643</v>
      </c>
      <c r="J149" s="254">
        <v>496573.69258126745</v>
      </c>
      <c r="K149" s="254">
        <v>902458.48136144318</v>
      </c>
      <c r="L149" s="254">
        <v>793180.3020091228</v>
      </c>
      <c r="M149" s="254">
        <v>661946.43478002574</v>
      </c>
      <c r="N149" s="254">
        <v>739998.52535125625</v>
      </c>
      <c r="O149" s="254">
        <v>2929146.2946621771</v>
      </c>
      <c r="P149" s="254">
        <v>820584.29018597654</v>
      </c>
      <c r="Q149" s="254">
        <v>0.44065620867502642</v>
      </c>
      <c r="R149" s="254">
        <v>940448.59894134291</v>
      </c>
      <c r="S149" s="254">
        <v>2791559.6884527593</v>
      </c>
      <c r="T149" s="254">
        <v>2857124.6644217642</v>
      </c>
      <c r="U149" s="254">
        <v>1524904.5875144871</v>
      </c>
      <c r="V149" s="254">
        <v>3516297.7820343673</v>
      </c>
      <c r="W149" s="254">
        <v>2551308.1834391453</v>
      </c>
      <c r="X149" s="254">
        <v>3647882.8813636075</v>
      </c>
      <c r="Y149" s="254">
        <v>3533575.1607719967</v>
      </c>
      <c r="Z149" s="254">
        <v>6381857.3201452764</v>
      </c>
      <c r="AA149" s="254">
        <v>5021446.6626765709</v>
      </c>
      <c r="AB149" s="254">
        <v>3955263.9203482061</v>
      </c>
      <c r="AC149" s="254">
        <v>7762236.9579631919</v>
      </c>
      <c r="AD149" s="254">
        <v>6593463.8816007385</v>
      </c>
      <c r="AE149" s="254">
        <v>138499.2103620182</v>
      </c>
      <c r="AF149" s="254"/>
      <c r="AG149" s="254"/>
      <c r="AH149" s="254"/>
      <c r="AI149" s="254"/>
      <c r="AJ149" s="262"/>
      <c r="AK149" s="262"/>
      <c r="AL149" s="262"/>
      <c r="AM149" s="262"/>
      <c r="AN149" s="262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62"/>
      <c r="BH149" s="262"/>
      <c r="BI149" s="262"/>
      <c r="BJ149" s="262"/>
      <c r="BK149" s="262"/>
      <c r="BL149" s="262"/>
      <c r="BM149" s="262"/>
      <c r="BN149" s="262"/>
      <c r="BO149" s="208"/>
      <c r="BP149" s="208"/>
      <c r="BQ149" s="208"/>
      <c r="BR149" s="208"/>
      <c r="BS149" s="208"/>
      <c r="BT149" s="208"/>
      <c r="BU149" s="208"/>
      <c r="BV149" s="208"/>
      <c r="BW149" s="208"/>
      <c r="BX149" s="208"/>
      <c r="BY149" s="208"/>
      <c r="BZ149" s="208"/>
      <c r="CA149" s="208"/>
      <c r="CB149" s="208"/>
      <c r="CC149" s="208"/>
      <c r="CD149" s="208"/>
      <c r="CE149" s="208"/>
      <c r="CF149" s="208"/>
      <c r="CG149" s="208"/>
      <c r="CH149" s="208"/>
      <c r="CI149" s="208"/>
      <c r="CJ149" s="208"/>
      <c r="CK149" s="208"/>
      <c r="CL149" s="208"/>
      <c r="CM149" s="208"/>
      <c r="CN149" s="208"/>
      <c r="CO149" s="208"/>
      <c r="CP149" s="208"/>
      <c r="CQ149" s="208"/>
      <c r="CR149" s="208"/>
      <c r="CS149" s="208"/>
    </row>
    <row r="150" spans="2:97" x14ac:dyDescent="0.25">
      <c r="B150" s="220">
        <f>+'Option inputs'!$B$16</f>
        <v>2</v>
      </c>
      <c r="C150" s="263" t="str">
        <f>'Option inputs'!$C$16</f>
        <v>Option 1B</v>
      </c>
      <c r="D150" s="218"/>
      <c r="E150" s="220" t="s">
        <v>35</v>
      </c>
      <c r="F150" s="254">
        <v>0</v>
      </c>
      <c r="G150" s="254">
        <v>239922.6685531729</v>
      </c>
      <c r="H150" s="254">
        <v>53983.917040859043</v>
      </c>
      <c r="I150" s="254">
        <v>886694.89541262016</v>
      </c>
      <c r="J150" s="254">
        <v>601177.39656318305</v>
      </c>
      <c r="K150" s="254">
        <v>891452.35404917481</v>
      </c>
      <c r="L150" s="254">
        <v>813390.84640308609</v>
      </c>
      <c r="M150" s="254">
        <v>629541.05419678963</v>
      </c>
      <c r="N150" s="254">
        <v>847624.02176701848</v>
      </c>
      <c r="O150" s="254">
        <v>2760716.8959062314</v>
      </c>
      <c r="P150" s="254">
        <v>781437.23798001942</v>
      </c>
      <c r="Q150" s="254">
        <v>0.45313931073853958</v>
      </c>
      <c r="R150" s="254">
        <v>913624.17574831855</v>
      </c>
      <c r="S150" s="254">
        <v>2628758.9938977999</v>
      </c>
      <c r="T150" s="254">
        <v>2870622.0115008471</v>
      </c>
      <c r="U150" s="254">
        <v>1495151.4935216713</v>
      </c>
      <c r="V150" s="254">
        <v>3655567.3929545041</v>
      </c>
      <c r="W150" s="254">
        <v>2513926.3870666586</v>
      </c>
      <c r="X150" s="254">
        <v>3790781.3097960716</v>
      </c>
      <c r="Y150" s="254">
        <v>3750680.4302434754</v>
      </c>
      <c r="Z150" s="254">
        <v>5930299.4031769922</v>
      </c>
      <c r="AA150" s="254">
        <v>4943887.0476333201</v>
      </c>
      <c r="AB150" s="254">
        <v>4040391.5358841675</v>
      </c>
      <c r="AC150" s="254">
        <v>8102235.2930152155</v>
      </c>
      <c r="AD150" s="254">
        <v>6765867.4033804275</v>
      </c>
      <c r="AE150" s="254">
        <v>181154.39262445111</v>
      </c>
      <c r="AF150" s="254"/>
      <c r="AG150" s="254"/>
      <c r="AH150" s="254"/>
      <c r="AI150" s="254"/>
      <c r="AJ150" s="262"/>
      <c r="AK150" s="262"/>
      <c r="AL150" s="262"/>
      <c r="AM150" s="262"/>
      <c r="AN150" s="262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62"/>
      <c r="BH150" s="262"/>
      <c r="BI150" s="262"/>
      <c r="BJ150" s="262"/>
      <c r="BK150" s="262"/>
      <c r="BL150" s="262"/>
      <c r="BM150" s="262"/>
      <c r="BN150" s="262"/>
      <c r="BO150" s="208"/>
      <c r="BP150" s="208"/>
      <c r="BQ150" s="208"/>
      <c r="BR150" s="208"/>
      <c r="BS150" s="208"/>
      <c r="BT150" s="208"/>
      <c r="BU150" s="208"/>
      <c r="BV150" s="208"/>
      <c r="BW150" s="208"/>
      <c r="BX150" s="208"/>
      <c r="BY150" s="208"/>
      <c r="BZ150" s="208"/>
      <c r="CA150" s="208"/>
      <c r="CB150" s="208"/>
      <c r="CC150" s="208"/>
      <c r="CD150" s="208"/>
      <c r="CE150" s="208"/>
      <c r="CF150" s="208"/>
      <c r="CG150" s="208"/>
      <c r="CH150" s="208"/>
      <c r="CI150" s="208"/>
      <c r="CJ150" s="208"/>
      <c r="CK150" s="208"/>
      <c r="CL150" s="208"/>
      <c r="CM150" s="208"/>
      <c r="CN150" s="208"/>
      <c r="CO150" s="208"/>
      <c r="CP150" s="208"/>
      <c r="CQ150" s="208"/>
      <c r="CR150" s="208"/>
      <c r="CS150" s="208"/>
    </row>
    <row r="151" spans="2:97" x14ac:dyDescent="0.25">
      <c r="B151" s="220">
        <f>+'Option inputs'!$B$17</f>
        <v>3</v>
      </c>
      <c r="C151" s="263" t="str">
        <f>'Option inputs'!$C$17</f>
        <v>Option 1C</v>
      </c>
      <c r="D151" s="218"/>
      <c r="E151" s="220" t="s">
        <v>35</v>
      </c>
      <c r="F151" s="254">
        <v>0</v>
      </c>
      <c r="G151" s="254">
        <v>239922.83663975156</v>
      </c>
      <c r="H151" s="254">
        <v>53984.086511862384</v>
      </c>
      <c r="I151" s="254">
        <v>914728.01096859691</v>
      </c>
      <c r="J151" s="254">
        <v>531763.20643060829</v>
      </c>
      <c r="K151" s="254">
        <v>902444.34040837386</v>
      </c>
      <c r="L151" s="254">
        <v>793180.51463466277</v>
      </c>
      <c r="M151" s="254">
        <v>661946.62367505743</v>
      </c>
      <c r="N151" s="254">
        <v>739998.82827894972</v>
      </c>
      <c r="O151" s="254">
        <v>3001220.5619867519</v>
      </c>
      <c r="P151" s="254">
        <v>823322.6703318411</v>
      </c>
      <c r="Q151" s="254">
        <v>0.73411358781644798</v>
      </c>
      <c r="R151" s="254">
        <v>985586.22965132084</v>
      </c>
      <c r="S151" s="254">
        <v>2900641.3083575238</v>
      </c>
      <c r="T151" s="254">
        <v>2862063.9146596938</v>
      </c>
      <c r="U151" s="254">
        <v>1534841.6978800395</v>
      </c>
      <c r="V151" s="254">
        <v>3492667.6260528038</v>
      </c>
      <c r="W151" s="254">
        <v>2082988.2173436584</v>
      </c>
      <c r="X151" s="254">
        <v>3624022.1198031148</v>
      </c>
      <c r="Y151" s="254">
        <v>3517598.7521453435</v>
      </c>
      <c r="Z151" s="254">
        <v>6241386.6758656194</v>
      </c>
      <c r="AA151" s="254">
        <v>5015359.2617720729</v>
      </c>
      <c r="AB151" s="254">
        <v>3897429.9953411357</v>
      </c>
      <c r="AC151" s="254">
        <v>7620138.1709201792</v>
      </c>
      <c r="AD151" s="254">
        <v>4911127.5258892188</v>
      </c>
      <c r="AE151" s="254">
        <v>97682.712515363251</v>
      </c>
      <c r="AF151" s="254"/>
      <c r="AG151" s="254"/>
      <c r="AH151" s="254"/>
      <c r="AI151" s="254"/>
      <c r="AJ151" s="262"/>
      <c r="AK151" s="262"/>
      <c r="AL151" s="262"/>
      <c r="AM151" s="262"/>
      <c r="AN151" s="262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62"/>
      <c r="BH151" s="262"/>
      <c r="BI151" s="262"/>
      <c r="BJ151" s="262"/>
      <c r="BK151" s="262"/>
      <c r="BL151" s="262"/>
      <c r="BM151" s="262"/>
      <c r="BN151" s="262"/>
      <c r="BO151" s="208"/>
      <c r="BP151" s="208"/>
      <c r="BQ151" s="208"/>
      <c r="BR151" s="208"/>
      <c r="BS151" s="208"/>
      <c r="BT151" s="208"/>
      <c r="BU151" s="208"/>
      <c r="BV151" s="208"/>
      <c r="BW151" s="208"/>
      <c r="BX151" s="208"/>
      <c r="BY151" s="208"/>
      <c r="BZ151" s="208"/>
      <c r="CA151" s="208"/>
      <c r="CB151" s="208"/>
      <c r="CC151" s="208"/>
      <c r="CD151" s="208"/>
      <c r="CE151" s="208"/>
      <c r="CF151" s="208"/>
      <c r="CG151" s="208"/>
      <c r="CH151" s="208"/>
      <c r="CI151" s="208"/>
      <c r="CJ151" s="208"/>
      <c r="CK151" s="208"/>
      <c r="CL151" s="208"/>
      <c r="CM151" s="208"/>
      <c r="CN151" s="208"/>
      <c r="CO151" s="208"/>
      <c r="CP151" s="208"/>
      <c r="CQ151" s="208"/>
      <c r="CR151" s="208"/>
      <c r="CS151" s="208"/>
    </row>
    <row r="152" spans="2:97" x14ac:dyDescent="0.25">
      <c r="B152" s="220">
        <f>+'Option inputs'!$B$18</f>
        <v>4</v>
      </c>
      <c r="C152" s="263" t="str">
        <f>'Option inputs'!$C$18</f>
        <v>Option 1D</v>
      </c>
      <c r="D152" s="218"/>
      <c r="E152" s="220" t="s">
        <v>35</v>
      </c>
      <c r="F152" s="254">
        <v>0</v>
      </c>
      <c r="G152" s="254">
        <v>239922.65401306516</v>
      </c>
      <c r="H152" s="254">
        <v>53983.908776858676</v>
      </c>
      <c r="I152" s="254">
        <v>909960.3904468941</v>
      </c>
      <c r="J152" s="254">
        <v>623261.10542124871</v>
      </c>
      <c r="K152" s="254">
        <v>922993.29354202794</v>
      </c>
      <c r="L152" s="254">
        <v>806919.92581268447</v>
      </c>
      <c r="M152" s="254">
        <v>663884.06216102198</v>
      </c>
      <c r="N152" s="254">
        <v>827093.90042493551</v>
      </c>
      <c r="O152" s="254">
        <v>2898753.8338387702</v>
      </c>
      <c r="P152" s="254">
        <v>787155.51316761074</v>
      </c>
      <c r="Q152" s="254">
        <v>0.43856617928990166</v>
      </c>
      <c r="R152" s="254">
        <v>966659.66834401968</v>
      </c>
      <c r="S152" s="254">
        <v>2837691.1203899193</v>
      </c>
      <c r="T152" s="254">
        <v>2822199.7758936114</v>
      </c>
      <c r="U152" s="254">
        <v>1483005.4810764759</v>
      </c>
      <c r="V152" s="254">
        <v>3650020.2207289021</v>
      </c>
      <c r="W152" s="254">
        <v>2270321.9579984029</v>
      </c>
      <c r="X152" s="254">
        <v>3681684.6437715273</v>
      </c>
      <c r="Y152" s="254">
        <v>3538245.8844735767</v>
      </c>
      <c r="Z152" s="254">
        <v>6625148.2678370029</v>
      </c>
      <c r="AA152" s="254">
        <v>4913319.3693271521</v>
      </c>
      <c r="AB152" s="254">
        <v>3970181.8978946502</v>
      </c>
      <c r="AC152" s="254">
        <v>7824601.0666015157</v>
      </c>
      <c r="AD152" s="254">
        <v>5266001.4038859019</v>
      </c>
      <c r="AE152" s="254">
        <v>116664.17833836534</v>
      </c>
      <c r="AF152" s="254"/>
      <c r="AG152" s="254"/>
      <c r="AH152" s="254"/>
      <c r="AI152" s="254"/>
      <c r="AJ152" s="262"/>
      <c r="AK152" s="262"/>
      <c r="AL152" s="262"/>
      <c r="AM152" s="262"/>
      <c r="AN152" s="262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62"/>
      <c r="BH152" s="262"/>
      <c r="BI152" s="262"/>
      <c r="BJ152" s="262"/>
      <c r="BK152" s="262"/>
      <c r="BL152" s="262"/>
      <c r="BM152" s="262"/>
      <c r="BN152" s="262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</row>
    <row r="153" spans="2:97" x14ac:dyDescent="0.25">
      <c r="E153" s="215"/>
      <c r="AF153" s="207"/>
      <c r="AG153" s="207"/>
      <c r="AH153" s="207"/>
      <c r="AI153" s="207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</row>
    <row r="154" spans="2:97" ht="13" x14ac:dyDescent="0.3">
      <c r="B154" s="165" t="s">
        <v>14</v>
      </c>
      <c r="C154" s="216" t="s">
        <v>13</v>
      </c>
      <c r="D154" s="165" t="s">
        <v>87</v>
      </c>
      <c r="E154" s="217" t="s">
        <v>7</v>
      </c>
      <c r="F154" s="260" t="str">
        <f>Calculation!G$32</f>
        <v>FY 2019-20</v>
      </c>
      <c r="G154" s="260" t="str">
        <f>Calculation!H$32</f>
        <v>FY 2020-21</v>
      </c>
      <c r="H154" s="260" t="str">
        <f>Calculation!I$32</f>
        <v>FY 2021-22</v>
      </c>
      <c r="I154" s="260" t="str">
        <f>Calculation!J$32</f>
        <v>FY 2022-23</v>
      </c>
      <c r="J154" s="260" t="str">
        <f>Calculation!K$32</f>
        <v>FY 2023-24</v>
      </c>
      <c r="K154" s="260" t="str">
        <f>Calculation!L$32</f>
        <v>FY 2024-25</v>
      </c>
      <c r="L154" s="260" t="str">
        <f>Calculation!M$32</f>
        <v>FY 2025-26</v>
      </c>
      <c r="M154" s="260" t="str">
        <f>Calculation!N$32</f>
        <v>FY 2026-27</v>
      </c>
      <c r="N154" s="260" t="str">
        <f>Calculation!O$32</f>
        <v>FY 2027-28</v>
      </c>
      <c r="O154" s="260" t="str">
        <f>Calculation!P$32</f>
        <v>FY 2028-29</v>
      </c>
      <c r="P154" s="260" t="str">
        <f>Calculation!Q$32</f>
        <v>FY 2029-30</v>
      </c>
      <c r="Q154" s="260" t="str">
        <f>Calculation!R$32</f>
        <v>FY 2030-31</v>
      </c>
      <c r="R154" s="260" t="str">
        <f>Calculation!S$32</f>
        <v>FY 2031-32</v>
      </c>
      <c r="S154" s="260" t="str">
        <f>Calculation!T$32</f>
        <v>FY 2032-33</v>
      </c>
      <c r="T154" s="260" t="str">
        <f>Calculation!U$32</f>
        <v>FY 2033-34</v>
      </c>
      <c r="U154" s="260" t="str">
        <f>Calculation!V$32</f>
        <v>FY 2034-35</v>
      </c>
      <c r="V154" s="260" t="str">
        <f>Calculation!W$32</f>
        <v>FY 2035-36</v>
      </c>
      <c r="W154" s="260" t="str">
        <f>Calculation!X$32</f>
        <v>FY 2036-37</v>
      </c>
      <c r="X154" s="260" t="str">
        <f>Calculation!Y$32</f>
        <v>FY 2037-38</v>
      </c>
      <c r="Y154" s="260" t="str">
        <f>Calculation!Z$32</f>
        <v>FY 2038-39</v>
      </c>
      <c r="Z154" s="260" t="str">
        <f>Calculation!AA$32</f>
        <v>FY 2039-40</v>
      </c>
      <c r="AA154" s="260" t="str">
        <f>Calculation!AB$32</f>
        <v>FY 2040-41</v>
      </c>
      <c r="AB154" s="260" t="str">
        <f>Calculation!AC$32</f>
        <v>FY 2041-42</v>
      </c>
      <c r="AC154" s="260" t="str">
        <f>Calculation!AD$32</f>
        <v>FY 2042-43</v>
      </c>
      <c r="AD154" s="260" t="str">
        <f>Calculation!AE$32</f>
        <v>FY 2043-44</v>
      </c>
      <c r="AE154" s="260" t="str">
        <f>Calculation!AF$32</f>
        <v>FY 2044-45</v>
      </c>
      <c r="AF154" s="260" t="str">
        <f>Calculation!AG$32</f>
        <v>FY 2045-46</v>
      </c>
      <c r="AG154" s="260" t="str">
        <f>Calculation!AH$32</f>
        <v>FY 2046-47</v>
      </c>
      <c r="AH154" s="260" t="str">
        <f>Calculation!AI$32</f>
        <v>FY 2047-48</v>
      </c>
      <c r="AI154" s="260" t="str">
        <f>Calculation!AJ$32</f>
        <v>FY 2048-49</v>
      </c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</row>
    <row r="155" spans="2:97" x14ac:dyDescent="0.25">
      <c r="B155" s="220">
        <f>+'Option inputs'!$B$14</f>
        <v>0</v>
      </c>
      <c r="C155" s="261" t="str">
        <f>'Option inputs'!$C$14</f>
        <v>Base case</v>
      </c>
      <c r="D155" s="218"/>
      <c r="E155" s="220" t="s">
        <v>35</v>
      </c>
      <c r="F155" s="254">
        <v>0</v>
      </c>
      <c r="G155" s="254">
        <v>290293.28724504012</v>
      </c>
      <c r="H155" s="254">
        <v>311056.65453621605</v>
      </c>
      <c r="I155" s="254">
        <v>1425187.6460673457</v>
      </c>
      <c r="J155" s="254">
        <v>924471.89120816183</v>
      </c>
      <c r="K155" s="254">
        <v>1196744.4658555158</v>
      </c>
      <c r="L155" s="254">
        <v>4.6145659494067655</v>
      </c>
      <c r="M155" s="254">
        <v>201880.50012373543</v>
      </c>
      <c r="N155" s="254">
        <v>1388248.3205571899</v>
      </c>
      <c r="O155" s="254">
        <v>1365657.8501142957</v>
      </c>
      <c r="P155" s="254">
        <v>222438.78791455014</v>
      </c>
      <c r="Q155" s="254">
        <v>1852562.6017645849</v>
      </c>
      <c r="R155" s="254">
        <v>5063490.8438128233</v>
      </c>
      <c r="S155" s="254">
        <v>3546776.9549078611</v>
      </c>
      <c r="T155" s="254">
        <v>2138248.3327839505</v>
      </c>
      <c r="U155" s="254">
        <v>3592635.1774121979</v>
      </c>
      <c r="V155" s="254">
        <v>4836820.5446603773</v>
      </c>
      <c r="W155" s="254">
        <v>182549.09816239306</v>
      </c>
      <c r="X155" s="254">
        <v>160693.19827623043</v>
      </c>
      <c r="Y155" s="254">
        <v>2807399.1784292753</v>
      </c>
      <c r="Z155" s="254">
        <v>11053352.547323154</v>
      </c>
      <c r="AA155" s="254">
        <v>10038382.569529168</v>
      </c>
      <c r="AB155" s="254">
        <v>8905353.4451407399</v>
      </c>
      <c r="AC155" s="254">
        <v>5876341.6974693052</v>
      </c>
      <c r="AD155" s="254">
        <v>34877577.759365648</v>
      </c>
      <c r="AE155" s="254">
        <v>3359740.3039321033</v>
      </c>
      <c r="AF155" s="254"/>
      <c r="AG155" s="254"/>
      <c r="AH155" s="254"/>
      <c r="AI155" s="254"/>
      <c r="AJ155" s="262"/>
      <c r="AK155" s="262"/>
      <c r="AL155" s="262"/>
      <c r="AM155" s="262"/>
      <c r="AN155" s="262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62"/>
      <c r="BH155" s="262"/>
      <c r="BI155" s="262"/>
      <c r="BJ155" s="262"/>
      <c r="BK155" s="262"/>
      <c r="BL155" s="262"/>
      <c r="BM155" s="262"/>
      <c r="BN155" s="262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</row>
    <row r="156" spans="2:97" x14ac:dyDescent="0.25">
      <c r="B156" s="220">
        <f>+'Option inputs'!$B$15</f>
        <v>1</v>
      </c>
      <c r="C156" s="263" t="str">
        <f>'Option inputs'!$C$15</f>
        <v>Option 1A</v>
      </c>
      <c r="D156" s="218"/>
      <c r="E156" s="220" t="s">
        <v>35</v>
      </c>
      <c r="F156" s="254">
        <v>0</v>
      </c>
      <c r="G156" s="254">
        <v>290291.02930307493</v>
      </c>
      <c r="H156" s="254">
        <v>311054.32771628594</v>
      </c>
      <c r="I156" s="254">
        <v>1421699.0387644083</v>
      </c>
      <c r="J156" s="254">
        <v>956658.78404717613</v>
      </c>
      <c r="K156" s="254">
        <v>1326351.521851019</v>
      </c>
      <c r="L156" s="254">
        <v>1.5396608560083898</v>
      </c>
      <c r="M156" s="254">
        <v>351818.15006324335</v>
      </c>
      <c r="N156" s="254">
        <v>1392497.8195251629</v>
      </c>
      <c r="O156" s="254">
        <v>1360816.225705826</v>
      </c>
      <c r="P156" s="254">
        <v>219555.59935939172</v>
      </c>
      <c r="Q156" s="254">
        <v>1378901.9870131125</v>
      </c>
      <c r="R156" s="254">
        <v>4274255.6463955697</v>
      </c>
      <c r="S156" s="254">
        <v>3293355.1235652035</v>
      </c>
      <c r="T156" s="254">
        <v>1765706.0714694133</v>
      </c>
      <c r="U156" s="254">
        <v>3376221.2200811217</v>
      </c>
      <c r="V156" s="254">
        <v>4577916.1154355025</v>
      </c>
      <c r="W156" s="254">
        <v>3.1000174779891494</v>
      </c>
      <c r="X156" s="254">
        <v>270537.7046199349</v>
      </c>
      <c r="Y156" s="254">
        <v>2731487.3170185424</v>
      </c>
      <c r="Z156" s="254">
        <v>13013262.980998142</v>
      </c>
      <c r="AA156" s="254">
        <v>10335563.383774916</v>
      </c>
      <c r="AB156" s="254">
        <v>9659148.823398225</v>
      </c>
      <c r="AC156" s="254">
        <v>6712402.7433493501</v>
      </c>
      <c r="AD156" s="254">
        <v>37764663.353602611</v>
      </c>
      <c r="AE156" s="254">
        <v>3784565.8170413473</v>
      </c>
      <c r="AF156" s="254"/>
      <c r="AG156" s="254"/>
      <c r="AH156" s="254"/>
      <c r="AI156" s="254"/>
      <c r="AJ156" s="262"/>
      <c r="AK156" s="262"/>
      <c r="AL156" s="262"/>
      <c r="AM156" s="262"/>
      <c r="AN156" s="262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62"/>
      <c r="BH156" s="262"/>
      <c r="BI156" s="262"/>
      <c r="BJ156" s="262"/>
      <c r="BK156" s="262"/>
      <c r="BL156" s="262"/>
      <c r="BM156" s="262"/>
      <c r="BN156" s="262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</row>
    <row r="157" spans="2:97" x14ac:dyDescent="0.25">
      <c r="B157" s="220">
        <f>+'Option inputs'!$B$16</f>
        <v>2</v>
      </c>
      <c r="C157" s="263" t="str">
        <f>'Option inputs'!$C$16</f>
        <v>Option 1B</v>
      </c>
      <c r="D157" s="218"/>
      <c r="E157" s="220" t="s">
        <v>35</v>
      </c>
      <c r="F157" s="254">
        <v>0</v>
      </c>
      <c r="G157" s="254">
        <v>290294.35769627395</v>
      </c>
      <c r="H157" s="254">
        <v>311057.75501071662</v>
      </c>
      <c r="I157" s="254">
        <v>1372941.8701165793</v>
      </c>
      <c r="J157" s="254">
        <v>967371.94732673513</v>
      </c>
      <c r="K157" s="254">
        <v>1202094.7129344905</v>
      </c>
      <c r="L157" s="254">
        <v>6.0645102127469537</v>
      </c>
      <c r="M157" s="254">
        <v>226695.08551614874</v>
      </c>
      <c r="N157" s="254">
        <v>1380405.1824989256</v>
      </c>
      <c r="O157" s="254">
        <v>1349940.2608986236</v>
      </c>
      <c r="P157" s="254">
        <v>232087.47689440666</v>
      </c>
      <c r="Q157" s="254">
        <v>1383796.5520847044</v>
      </c>
      <c r="R157" s="254">
        <v>5348105.0508125601</v>
      </c>
      <c r="S157" s="254">
        <v>3760317.4054293055</v>
      </c>
      <c r="T157" s="254">
        <v>2265087.3209674992</v>
      </c>
      <c r="U157" s="254">
        <v>3859165.2854606817</v>
      </c>
      <c r="V157" s="254">
        <v>4993218.1452087145</v>
      </c>
      <c r="W157" s="254">
        <v>198995.68099626372</v>
      </c>
      <c r="X157" s="254">
        <v>266693.38440793246</v>
      </c>
      <c r="Y157" s="254">
        <v>3017466.2905285498</v>
      </c>
      <c r="Z157" s="254">
        <v>10938754.740890337</v>
      </c>
      <c r="AA157" s="254">
        <v>9960869.5729570333</v>
      </c>
      <c r="AB157" s="254">
        <v>6486654.6543496698</v>
      </c>
      <c r="AC157" s="254">
        <v>6181838.2575968755</v>
      </c>
      <c r="AD157" s="254">
        <v>30641435.332138509</v>
      </c>
      <c r="AE157" s="254">
        <v>3430020.6144930315</v>
      </c>
      <c r="AF157" s="254"/>
      <c r="AG157" s="254"/>
      <c r="AH157" s="254"/>
      <c r="AI157" s="254"/>
      <c r="AJ157" s="262"/>
      <c r="AK157" s="262"/>
      <c r="AL157" s="262"/>
      <c r="AM157" s="262"/>
      <c r="AN157" s="262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62"/>
      <c r="BH157" s="262"/>
      <c r="BI157" s="262"/>
      <c r="BJ157" s="262"/>
      <c r="BK157" s="262"/>
      <c r="BL157" s="262"/>
      <c r="BM157" s="262"/>
      <c r="BN157" s="262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</row>
    <row r="158" spans="2:97" x14ac:dyDescent="0.25">
      <c r="B158" s="220">
        <f>+'Option inputs'!$B$17</f>
        <v>3</v>
      </c>
      <c r="C158" s="263" t="str">
        <f>'Option inputs'!$C$17</f>
        <v>Option 1C</v>
      </c>
      <c r="D158" s="218"/>
      <c r="E158" s="220" t="s">
        <v>35</v>
      </c>
      <c r="F158" s="254">
        <v>0</v>
      </c>
      <c r="G158" s="254">
        <v>290290.85975620663</v>
      </c>
      <c r="H158" s="254">
        <v>311054.15259968926</v>
      </c>
      <c r="I158" s="254">
        <v>1463958.9844845044</v>
      </c>
      <c r="J158" s="254">
        <v>924468.93407027062</v>
      </c>
      <c r="K158" s="254">
        <v>1308417.3535702254</v>
      </c>
      <c r="L158" s="254">
        <v>1.29687360798949</v>
      </c>
      <c r="M158" s="254">
        <v>235295.69845533659</v>
      </c>
      <c r="N158" s="254">
        <v>1514142.2013679647</v>
      </c>
      <c r="O158" s="254">
        <v>1409016.2403663525</v>
      </c>
      <c r="P158" s="254">
        <v>219801.15065157163</v>
      </c>
      <c r="Q158" s="254">
        <v>1767292.6429204601</v>
      </c>
      <c r="R158" s="254">
        <v>4254774.6815928267</v>
      </c>
      <c r="S158" s="254">
        <v>3069313.1605992508</v>
      </c>
      <c r="T158" s="254">
        <v>1712524.698240303</v>
      </c>
      <c r="U158" s="254">
        <v>3167114.3876811266</v>
      </c>
      <c r="V158" s="254">
        <v>4551308.3517805012</v>
      </c>
      <c r="W158" s="254">
        <v>25691.333383615322</v>
      </c>
      <c r="X158" s="254">
        <v>172154.41683482329</v>
      </c>
      <c r="Y158" s="254">
        <v>2654090.7013950227</v>
      </c>
      <c r="Z158" s="254">
        <v>12736759.346602285</v>
      </c>
      <c r="AA158" s="254">
        <v>10962373.360888984</v>
      </c>
      <c r="AB158" s="254">
        <v>11834687.646732751</v>
      </c>
      <c r="AC158" s="254">
        <v>6330803.3163456777</v>
      </c>
      <c r="AD158" s="254">
        <v>39002088.885308348</v>
      </c>
      <c r="AE158" s="254">
        <v>3982138.3510587378</v>
      </c>
      <c r="AF158" s="254"/>
      <c r="AG158" s="254"/>
      <c r="AH158" s="254"/>
      <c r="AI158" s="254"/>
      <c r="AJ158" s="262"/>
      <c r="AK158" s="262"/>
      <c r="AL158" s="262"/>
      <c r="AM158" s="262"/>
      <c r="AN158" s="262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62"/>
      <c r="BH158" s="262"/>
      <c r="BI158" s="262"/>
      <c r="BJ158" s="262"/>
      <c r="BK158" s="262"/>
      <c r="BL158" s="262"/>
      <c r="BM158" s="262"/>
      <c r="BN158" s="262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</row>
    <row r="159" spans="2:97" x14ac:dyDescent="0.25">
      <c r="B159" s="220">
        <f>+'Option inputs'!$B$18</f>
        <v>4</v>
      </c>
      <c r="C159" s="263" t="str">
        <f>'Option inputs'!$C$18</f>
        <v>Option 1D</v>
      </c>
      <c r="D159" s="218"/>
      <c r="E159" s="220" t="s">
        <v>35</v>
      </c>
      <c r="F159" s="254">
        <v>0</v>
      </c>
      <c r="G159" s="254">
        <v>290293.00823451445</v>
      </c>
      <c r="H159" s="254">
        <v>311056.36288336298</v>
      </c>
      <c r="I159" s="254">
        <v>1433406.1448367047</v>
      </c>
      <c r="J159" s="254">
        <v>924471.5369896224</v>
      </c>
      <c r="K159" s="254">
        <v>1276610.4957535062</v>
      </c>
      <c r="L159" s="254">
        <v>4.215976942926754</v>
      </c>
      <c r="M159" s="254">
        <v>300464.16709521069</v>
      </c>
      <c r="N159" s="254">
        <v>1479195.9192743208</v>
      </c>
      <c r="O159" s="254">
        <v>1380710.8515833931</v>
      </c>
      <c r="P159" s="254">
        <v>221473.04158762752</v>
      </c>
      <c r="Q159" s="254">
        <v>1785924.3018460348</v>
      </c>
      <c r="R159" s="254">
        <v>4989506.9024383444</v>
      </c>
      <c r="S159" s="254">
        <v>3482038.6217037863</v>
      </c>
      <c r="T159" s="254">
        <v>2079652.9155762228</v>
      </c>
      <c r="U159" s="254">
        <v>3465586.9143804261</v>
      </c>
      <c r="V159" s="254">
        <v>4789360.2754747123</v>
      </c>
      <c r="W159" s="254">
        <v>164274.57020887244</v>
      </c>
      <c r="X159" s="254">
        <v>165902.88886805496</v>
      </c>
      <c r="Y159" s="254">
        <v>2812108.2548084334</v>
      </c>
      <c r="Z159" s="254">
        <v>11016586.326187506</v>
      </c>
      <c r="AA159" s="254">
        <v>10013326.660215955</v>
      </c>
      <c r="AB159" s="254">
        <v>8662284.7176014166</v>
      </c>
      <c r="AC159" s="254">
        <v>5890284.6470718784</v>
      </c>
      <c r="AD159" s="254">
        <v>33818733.705231354</v>
      </c>
      <c r="AE159" s="254">
        <v>3400080.6285169846</v>
      </c>
      <c r="AF159" s="254"/>
      <c r="AG159" s="254"/>
      <c r="AH159" s="254"/>
      <c r="AI159" s="254"/>
      <c r="AJ159" s="262"/>
      <c r="AK159" s="262"/>
      <c r="AL159" s="262"/>
      <c r="AM159" s="262"/>
      <c r="AN159" s="262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62"/>
      <c r="BH159" s="262"/>
      <c r="BI159" s="262"/>
      <c r="BJ159" s="262"/>
      <c r="BK159" s="262"/>
      <c r="BL159" s="262"/>
      <c r="BM159" s="262"/>
      <c r="BN159" s="262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</row>
    <row r="160" spans="2:97" x14ac:dyDescent="0.25">
      <c r="E160" s="215"/>
      <c r="AF160" s="207"/>
      <c r="AG160" s="207"/>
      <c r="AH160" s="207"/>
      <c r="AI160" s="207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</row>
    <row r="161" spans="1:97" ht="13" x14ac:dyDescent="0.3">
      <c r="B161" s="257" t="s">
        <v>82</v>
      </c>
      <c r="C161" s="258"/>
      <c r="D161" s="257"/>
      <c r="E161" s="267" t="s">
        <v>32</v>
      </c>
      <c r="F161" s="257" t="s">
        <v>89</v>
      </c>
      <c r="G161" s="257"/>
      <c r="H161" s="257"/>
      <c r="I161" s="257"/>
      <c r="J161" s="257"/>
      <c r="K161" s="257"/>
      <c r="L161" s="257"/>
      <c r="M161" s="257"/>
      <c r="N161" s="257"/>
      <c r="O161" s="257"/>
      <c r="P161" s="257"/>
      <c r="Q161" s="257"/>
      <c r="R161" s="257"/>
      <c r="S161" s="257"/>
      <c r="T161" s="257"/>
      <c r="U161" s="257"/>
      <c r="V161" s="257"/>
      <c r="W161" s="257"/>
      <c r="X161" s="257"/>
      <c r="Y161" s="257"/>
      <c r="Z161" s="257"/>
      <c r="AA161" s="257"/>
      <c r="AB161" s="257"/>
      <c r="AC161" s="257"/>
      <c r="AD161" s="257"/>
      <c r="AE161" s="257"/>
      <c r="AF161" s="257"/>
      <c r="AG161" s="257"/>
      <c r="AH161" s="257"/>
      <c r="AI161" s="257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</row>
    <row r="162" spans="1:97" s="208" customFormat="1" ht="13" x14ac:dyDescent="0.3">
      <c r="A162" s="230"/>
      <c r="B162" s="269"/>
      <c r="C162" s="270"/>
      <c r="D162" s="269"/>
      <c r="E162" s="271"/>
      <c r="F162" s="269"/>
      <c r="G162" s="269"/>
      <c r="H162" s="269"/>
      <c r="I162" s="269"/>
      <c r="J162" s="269"/>
      <c r="K162" s="269"/>
      <c r="L162" s="269"/>
      <c r="M162" s="269"/>
      <c r="N162" s="269"/>
      <c r="O162" s="269"/>
      <c r="P162" s="269"/>
      <c r="Q162" s="269"/>
      <c r="R162" s="269"/>
      <c r="S162" s="269"/>
      <c r="T162" s="269"/>
      <c r="U162" s="269"/>
      <c r="V162" s="269"/>
      <c r="W162" s="269"/>
      <c r="X162" s="269"/>
      <c r="Y162" s="269"/>
      <c r="Z162" s="269"/>
      <c r="AA162" s="269"/>
      <c r="AB162" s="269"/>
      <c r="AC162" s="269"/>
      <c r="AD162" s="269"/>
      <c r="AE162" s="269"/>
      <c r="AF162" s="269"/>
      <c r="AG162" s="269"/>
      <c r="AH162" s="269"/>
      <c r="AI162" s="269"/>
    </row>
    <row r="163" spans="1:97" ht="13" x14ac:dyDescent="0.3">
      <c r="B163" s="165" t="s">
        <v>14</v>
      </c>
      <c r="C163" s="216" t="s">
        <v>13</v>
      </c>
      <c r="D163" s="216" t="s">
        <v>93</v>
      </c>
      <c r="E163" s="217" t="s">
        <v>7</v>
      </c>
      <c r="F163" s="260" t="str">
        <f>Calculation!G$32</f>
        <v>FY 2019-20</v>
      </c>
      <c r="G163" s="260" t="str">
        <f>Calculation!H$32</f>
        <v>FY 2020-21</v>
      </c>
      <c r="H163" s="260" t="str">
        <f>Calculation!I$32</f>
        <v>FY 2021-22</v>
      </c>
      <c r="I163" s="260" t="str">
        <f>Calculation!J$32</f>
        <v>FY 2022-23</v>
      </c>
      <c r="J163" s="260" t="str">
        <f>Calculation!K$32</f>
        <v>FY 2023-24</v>
      </c>
      <c r="K163" s="260" t="str">
        <f>Calculation!L$32</f>
        <v>FY 2024-25</v>
      </c>
      <c r="L163" s="260" t="str">
        <f>Calculation!M$32</f>
        <v>FY 2025-26</v>
      </c>
      <c r="M163" s="260" t="str">
        <f>Calculation!N$32</f>
        <v>FY 2026-27</v>
      </c>
      <c r="N163" s="260" t="str">
        <f>Calculation!O$32</f>
        <v>FY 2027-28</v>
      </c>
      <c r="O163" s="260" t="str">
        <f>Calculation!P$32</f>
        <v>FY 2028-29</v>
      </c>
      <c r="P163" s="260" t="str">
        <f>Calculation!Q$32</f>
        <v>FY 2029-30</v>
      </c>
      <c r="Q163" s="260" t="str">
        <f>Calculation!R$32</f>
        <v>FY 2030-31</v>
      </c>
      <c r="R163" s="260" t="str">
        <f>Calculation!S$32</f>
        <v>FY 2031-32</v>
      </c>
      <c r="S163" s="260" t="str">
        <f>Calculation!T$32</f>
        <v>FY 2032-33</v>
      </c>
      <c r="T163" s="260" t="str">
        <f>Calculation!U$32</f>
        <v>FY 2033-34</v>
      </c>
      <c r="U163" s="260" t="str">
        <f>Calculation!V$32</f>
        <v>FY 2034-35</v>
      </c>
      <c r="V163" s="260" t="str">
        <f>Calculation!W$32</f>
        <v>FY 2035-36</v>
      </c>
      <c r="W163" s="260" t="str">
        <f>Calculation!X$32</f>
        <v>FY 2036-37</v>
      </c>
      <c r="X163" s="260" t="str">
        <f>Calculation!Y$32</f>
        <v>FY 2037-38</v>
      </c>
      <c r="Y163" s="260" t="str">
        <f>Calculation!Z$32</f>
        <v>FY 2038-39</v>
      </c>
      <c r="Z163" s="260" t="str">
        <f>Calculation!AA$32</f>
        <v>FY 2039-40</v>
      </c>
      <c r="AA163" s="260" t="str">
        <f>Calculation!AB$32</f>
        <v>FY 2040-41</v>
      </c>
      <c r="AB163" s="260" t="str">
        <f>Calculation!AC$32</f>
        <v>FY 2041-42</v>
      </c>
      <c r="AC163" s="260" t="str">
        <f>Calculation!AD$32</f>
        <v>FY 2042-43</v>
      </c>
      <c r="AD163" s="260" t="str">
        <f>Calculation!AE$32</f>
        <v>FY 2043-44</v>
      </c>
      <c r="AE163" s="260" t="str">
        <f>Calculation!AF$32</f>
        <v>FY 2044-45</v>
      </c>
      <c r="AF163" s="260" t="str">
        <f>Calculation!AG$32</f>
        <v>FY 2045-46</v>
      </c>
      <c r="AG163" s="260" t="str">
        <f>Calculation!AH$32</f>
        <v>FY 2046-47</v>
      </c>
      <c r="AH163" s="260" t="str">
        <f>Calculation!AI$32</f>
        <v>FY 2047-48</v>
      </c>
      <c r="AI163" s="260" t="str">
        <f>Calculation!AJ$32</f>
        <v>FY 2048-49</v>
      </c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</row>
    <row r="164" spans="1:97" x14ac:dyDescent="0.25">
      <c r="B164" s="220">
        <f>+'Option inputs'!$B$14</f>
        <v>0</v>
      </c>
      <c r="C164" s="261" t="str">
        <f>'Option inputs'!$C$14</f>
        <v>Base case</v>
      </c>
      <c r="D164" s="218"/>
      <c r="E164" s="220" t="s">
        <v>35</v>
      </c>
      <c r="F164" s="254">
        <v>0</v>
      </c>
      <c r="G164" s="254">
        <v>779597566.35817218</v>
      </c>
      <c r="H164" s="254">
        <v>767317244.62808955</v>
      </c>
      <c r="I164" s="254">
        <v>1279727671.529063</v>
      </c>
      <c r="J164" s="254">
        <v>973274743.6261735</v>
      </c>
      <c r="K164" s="254">
        <v>785240588.85864186</v>
      </c>
      <c r="L164" s="254">
        <v>861590225.18054712</v>
      </c>
      <c r="M164" s="254">
        <v>857422901.44159615</v>
      </c>
      <c r="N164" s="254">
        <v>3316682738.6308947</v>
      </c>
      <c r="O164" s="254">
        <v>6230394045.5804577</v>
      </c>
      <c r="P164" s="254">
        <v>3821707055.2024503</v>
      </c>
      <c r="Q164" s="254">
        <v>833727312.41978908</v>
      </c>
      <c r="R164" s="254">
        <v>10898429415.926796</v>
      </c>
      <c r="S164" s="254">
        <v>5739172396.9665461</v>
      </c>
      <c r="T164" s="254">
        <v>2377158617.2540398</v>
      </c>
      <c r="U164" s="254">
        <v>1284840516.2985656</v>
      </c>
      <c r="V164" s="254">
        <v>15546896930.178696</v>
      </c>
      <c r="W164" s="254">
        <v>3305484276.1033888</v>
      </c>
      <c r="X164" s="254">
        <v>901709196.18777478</v>
      </c>
      <c r="Y164" s="254">
        <v>1386120065.1776111</v>
      </c>
      <c r="Z164" s="254">
        <v>3719458070.8747406</v>
      </c>
      <c r="AA164" s="254">
        <v>1328167303.8676889</v>
      </c>
      <c r="AB164" s="254">
        <v>1003139322.6271495</v>
      </c>
      <c r="AC164" s="254">
        <v>976151633.72140408</v>
      </c>
      <c r="AD164" s="254">
        <v>3174090910.5260797</v>
      </c>
      <c r="AE164" s="254">
        <v>1069578327.1800567</v>
      </c>
      <c r="AF164" s="254"/>
      <c r="AG164" s="254"/>
      <c r="AH164" s="254"/>
      <c r="AI164" s="254"/>
      <c r="AJ164" s="262"/>
      <c r="AK164" s="262"/>
      <c r="AL164" s="262"/>
      <c r="AM164" s="262"/>
      <c r="AN164" s="262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62"/>
      <c r="BH164" s="262"/>
      <c r="BI164" s="262"/>
      <c r="BJ164" s="262"/>
      <c r="BK164" s="262"/>
      <c r="BL164" s="262"/>
      <c r="BM164" s="262"/>
      <c r="BN164" s="262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</row>
    <row r="165" spans="1:97" x14ac:dyDescent="0.25">
      <c r="B165" s="220">
        <f>+'Option inputs'!$B$15</f>
        <v>1</v>
      </c>
      <c r="C165" s="263" t="str">
        <f>'Option inputs'!$C$15</f>
        <v>Option 1A</v>
      </c>
      <c r="D165" s="218"/>
      <c r="E165" s="220" t="s">
        <v>35</v>
      </c>
      <c r="F165" s="254">
        <v>0</v>
      </c>
      <c r="G165" s="254">
        <v>779597266.74944496</v>
      </c>
      <c r="H165" s="254">
        <v>767307990.0751965</v>
      </c>
      <c r="I165" s="254">
        <v>1106109287.7711155</v>
      </c>
      <c r="J165" s="254">
        <v>991825955.61309099</v>
      </c>
      <c r="K165" s="254">
        <v>785635642.03731656</v>
      </c>
      <c r="L165" s="254">
        <v>859775617.21119201</v>
      </c>
      <c r="M165" s="254">
        <v>852688473.89129388</v>
      </c>
      <c r="N165" s="254">
        <v>3311548122.9303322</v>
      </c>
      <c r="O165" s="254">
        <v>6004655301.8548069</v>
      </c>
      <c r="P165" s="254">
        <v>3752643191.6587281</v>
      </c>
      <c r="Q165" s="254">
        <v>834514675.73985016</v>
      </c>
      <c r="R165" s="254">
        <v>10841310533.644444</v>
      </c>
      <c r="S165" s="254">
        <v>5992538384.0086842</v>
      </c>
      <c r="T165" s="254">
        <v>2248125983.9760776</v>
      </c>
      <c r="U165" s="254">
        <v>1077979330.0479553</v>
      </c>
      <c r="V165" s="254">
        <v>15485168758.558655</v>
      </c>
      <c r="W165" s="254">
        <v>3617066766.6853623</v>
      </c>
      <c r="X165" s="254">
        <v>911916982.19451368</v>
      </c>
      <c r="Y165" s="254">
        <v>1390232355.7242873</v>
      </c>
      <c r="Z165" s="254">
        <v>3614004504.7766619</v>
      </c>
      <c r="AA165" s="254">
        <v>1411856757.9648964</v>
      </c>
      <c r="AB165" s="254">
        <v>931488303.06814408</v>
      </c>
      <c r="AC165" s="254">
        <v>951261255.18553674</v>
      </c>
      <c r="AD165" s="254">
        <v>3219757388.1630516</v>
      </c>
      <c r="AE165" s="254">
        <v>1064953040.7522296</v>
      </c>
      <c r="AF165" s="254"/>
      <c r="AG165" s="254"/>
      <c r="AH165" s="254"/>
      <c r="AI165" s="254"/>
      <c r="AJ165" s="262"/>
      <c r="AK165" s="262"/>
      <c r="AL165" s="262"/>
      <c r="AM165" s="262"/>
      <c r="AN165" s="262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62"/>
      <c r="BH165" s="262"/>
      <c r="BI165" s="262"/>
      <c r="BJ165" s="262"/>
      <c r="BK165" s="262"/>
      <c r="BL165" s="262"/>
      <c r="BM165" s="262"/>
      <c r="BN165" s="262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</row>
    <row r="166" spans="1:97" x14ac:dyDescent="0.25">
      <c r="B166" s="220">
        <f>+'Option inputs'!$B$16</f>
        <v>2</v>
      </c>
      <c r="C166" s="263" t="str">
        <f>'Option inputs'!$C$16</f>
        <v>Option 1B</v>
      </c>
      <c r="D166" s="218"/>
      <c r="E166" s="220" t="s">
        <v>35</v>
      </c>
      <c r="F166" s="254">
        <v>0</v>
      </c>
      <c r="G166" s="254">
        <v>779598073.05736268</v>
      </c>
      <c r="H166" s="254">
        <v>767308014.79607582</v>
      </c>
      <c r="I166" s="254">
        <v>1279362200.5991068</v>
      </c>
      <c r="J166" s="254">
        <v>985274481.59829044</v>
      </c>
      <c r="K166" s="254">
        <v>784875469.17755032</v>
      </c>
      <c r="L166" s="254">
        <v>859446257.84996831</v>
      </c>
      <c r="M166" s="254">
        <v>853206711.70453298</v>
      </c>
      <c r="N166" s="254">
        <v>3313240802.7231288</v>
      </c>
      <c r="O166" s="254">
        <v>6087022253.9258728</v>
      </c>
      <c r="P166" s="254">
        <v>3817381205.4799919</v>
      </c>
      <c r="Q166" s="254">
        <v>832984683.44065535</v>
      </c>
      <c r="R166" s="254">
        <v>10937759158.484188</v>
      </c>
      <c r="S166" s="254">
        <v>5971519619.085041</v>
      </c>
      <c r="T166" s="254">
        <v>2160147942.3894911</v>
      </c>
      <c r="U166" s="254">
        <v>1277829088.6610746</v>
      </c>
      <c r="V166" s="254">
        <v>15380176130.817907</v>
      </c>
      <c r="W166" s="254">
        <v>3415751056.2943416</v>
      </c>
      <c r="X166" s="254">
        <v>920371337.46703875</v>
      </c>
      <c r="Y166" s="254">
        <v>1374104227.8010223</v>
      </c>
      <c r="Z166" s="254">
        <v>3734244488.8989272</v>
      </c>
      <c r="AA166" s="254">
        <v>1298196644.3729975</v>
      </c>
      <c r="AB166" s="254">
        <v>985376820.96172333</v>
      </c>
      <c r="AC166" s="254">
        <v>974736883.83366227</v>
      </c>
      <c r="AD166" s="254">
        <v>3233792454.3751183</v>
      </c>
      <c r="AE166" s="254">
        <v>1066464933.0550396</v>
      </c>
      <c r="AF166" s="254"/>
      <c r="AG166" s="254"/>
      <c r="AH166" s="254"/>
      <c r="AI166" s="254"/>
      <c r="AJ166" s="262"/>
      <c r="AK166" s="262"/>
      <c r="AL166" s="262"/>
      <c r="AM166" s="262"/>
      <c r="AN166" s="262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62"/>
      <c r="BH166" s="262"/>
      <c r="BI166" s="262"/>
      <c r="BJ166" s="262"/>
      <c r="BK166" s="262"/>
      <c r="BL166" s="262"/>
      <c r="BM166" s="262"/>
      <c r="BN166" s="262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</row>
    <row r="167" spans="1:97" x14ac:dyDescent="0.25">
      <c r="B167" s="220">
        <f>+'Option inputs'!$B$17</f>
        <v>3</v>
      </c>
      <c r="C167" s="263" t="str">
        <f>'Option inputs'!$C$17</f>
        <v>Option 1C</v>
      </c>
      <c r="D167" s="218"/>
      <c r="E167" s="220" t="s">
        <v>35</v>
      </c>
      <c r="F167" s="254">
        <v>0</v>
      </c>
      <c r="G167" s="254">
        <v>779597305.28217793</v>
      </c>
      <c r="H167" s="254">
        <v>767312918.2105875</v>
      </c>
      <c r="I167" s="254">
        <v>1202922443.1508183</v>
      </c>
      <c r="J167" s="254">
        <v>939525814.60792232</v>
      </c>
      <c r="K167" s="254">
        <v>785773289.99306047</v>
      </c>
      <c r="L167" s="254">
        <v>861350319.59239066</v>
      </c>
      <c r="M167" s="254">
        <v>856057953.2344861</v>
      </c>
      <c r="N167" s="254">
        <v>3315097867.5124903</v>
      </c>
      <c r="O167" s="254">
        <v>6152129399.6363668</v>
      </c>
      <c r="P167" s="254">
        <v>3870691437.1468873</v>
      </c>
      <c r="Q167" s="254">
        <v>833930240.51410973</v>
      </c>
      <c r="R167" s="254">
        <v>10748493007.820656</v>
      </c>
      <c r="S167" s="254">
        <v>5790265427.0069246</v>
      </c>
      <c r="T167" s="254">
        <v>2435460201.5782142</v>
      </c>
      <c r="U167" s="254">
        <v>1080435735.0481944</v>
      </c>
      <c r="V167" s="254">
        <v>15602444327.490561</v>
      </c>
      <c r="W167" s="254">
        <v>3507834675.0806379</v>
      </c>
      <c r="X167" s="254">
        <v>916886270.01626813</v>
      </c>
      <c r="Y167" s="254">
        <v>1391221080.6903739</v>
      </c>
      <c r="Z167" s="254">
        <v>3539261546.3072309</v>
      </c>
      <c r="AA167" s="254">
        <v>1443893696.0133889</v>
      </c>
      <c r="AB167" s="254">
        <v>978596440.87426138</v>
      </c>
      <c r="AC167" s="254">
        <v>963772422.14813793</v>
      </c>
      <c r="AD167" s="254">
        <v>3182313981.0492625</v>
      </c>
      <c r="AE167" s="254">
        <v>1071531672.8697717</v>
      </c>
      <c r="AF167" s="254"/>
      <c r="AG167" s="254"/>
      <c r="AH167" s="254"/>
      <c r="AI167" s="254"/>
      <c r="AJ167" s="262"/>
      <c r="AK167" s="262"/>
      <c r="AL167" s="262"/>
      <c r="AM167" s="262"/>
      <c r="AN167" s="262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62"/>
      <c r="BH167" s="262"/>
      <c r="BI167" s="262"/>
      <c r="BJ167" s="262"/>
      <c r="BK167" s="262"/>
      <c r="BL167" s="262"/>
      <c r="BM167" s="262"/>
      <c r="BN167" s="262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</row>
    <row r="168" spans="1:97" x14ac:dyDescent="0.25">
      <c r="B168" s="220">
        <f>+'Option inputs'!$B$18</f>
        <v>4</v>
      </c>
      <c r="C168" s="263" t="str">
        <f>'Option inputs'!$C$18</f>
        <v>Option 1D</v>
      </c>
      <c r="D168" s="218"/>
      <c r="E168" s="220" t="s">
        <v>35</v>
      </c>
      <c r="F168" s="254">
        <v>0</v>
      </c>
      <c r="G168" s="254">
        <v>779597256.71000946</v>
      </c>
      <c r="H168" s="254">
        <v>767313334.82386374</v>
      </c>
      <c r="I168" s="254">
        <v>1207098516.8594685</v>
      </c>
      <c r="J168" s="254">
        <v>935427566.05266404</v>
      </c>
      <c r="K168" s="254">
        <v>785732099.2732681</v>
      </c>
      <c r="L168" s="254">
        <v>861584036.98691177</v>
      </c>
      <c r="M168" s="254">
        <v>856889690.28012669</v>
      </c>
      <c r="N168" s="254">
        <v>3318635567.5016208</v>
      </c>
      <c r="O168" s="254">
        <v>6172146015.4869318</v>
      </c>
      <c r="P168" s="254">
        <v>3897443559.7623286</v>
      </c>
      <c r="Q168" s="254">
        <v>833313682.51423013</v>
      </c>
      <c r="R168" s="254">
        <v>10805176605.835321</v>
      </c>
      <c r="S168" s="254">
        <v>5753841711.1245432</v>
      </c>
      <c r="T168" s="254">
        <v>2392844148.9297061</v>
      </c>
      <c r="U168" s="254">
        <v>1272503670.2350373</v>
      </c>
      <c r="V168" s="254">
        <v>15509489106.190609</v>
      </c>
      <c r="W168" s="254">
        <v>3425563321.8756509</v>
      </c>
      <c r="X168" s="254">
        <v>905077659.82807934</v>
      </c>
      <c r="Y168" s="254">
        <v>1389896675.2428179</v>
      </c>
      <c r="Z168" s="254">
        <v>3663862726.1494994</v>
      </c>
      <c r="AA168" s="254">
        <v>1379006858.2478902</v>
      </c>
      <c r="AB168" s="254">
        <v>997363669.50815856</v>
      </c>
      <c r="AC168" s="254">
        <v>978617060.51470482</v>
      </c>
      <c r="AD168" s="254">
        <v>3168224736.8175473</v>
      </c>
      <c r="AE168" s="254">
        <v>1072846802.275862</v>
      </c>
      <c r="AF168" s="254"/>
      <c r="AG168" s="254"/>
      <c r="AH168" s="254"/>
      <c r="AI168" s="254"/>
      <c r="AJ168" s="262"/>
      <c r="AK168" s="262"/>
      <c r="AL168" s="262"/>
      <c r="AM168" s="262"/>
      <c r="AN168" s="262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62"/>
      <c r="BH168" s="262"/>
      <c r="BI168" s="262"/>
      <c r="BJ168" s="262"/>
      <c r="BK168" s="262"/>
      <c r="BL168" s="262"/>
      <c r="BM168" s="262"/>
      <c r="BN168" s="262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</row>
    <row r="169" spans="1:97" x14ac:dyDescent="0.25">
      <c r="E169" s="215"/>
      <c r="AF169" s="207"/>
      <c r="AG169" s="207"/>
      <c r="AH169" s="207"/>
      <c r="AI169" s="207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</row>
    <row r="170" spans="1:97" ht="13" x14ac:dyDescent="0.3">
      <c r="B170" s="165" t="s">
        <v>14</v>
      </c>
      <c r="C170" s="216" t="s">
        <v>13</v>
      </c>
      <c r="D170" s="216" t="str">
        <f>$D$50</f>
        <v>Neutral + lower emissions</v>
      </c>
      <c r="E170" s="217" t="s">
        <v>7</v>
      </c>
      <c r="F170" s="260" t="str">
        <f>Calculation!G$32</f>
        <v>FY 2019-20</v>
      </c>
      <c r="G170" s="260" t="str">
        <f>Calculation!H$32</f>
        <v>FY 2020-21</v>
      </c>
      <c r="H170" s="260" t="str">
        <f>Calculation!I$32</f>
        <v>FY 2021-22</v>
      </c>
      <c r="I170" s="260" t="str">
        <f>Calculation!J$32</f>
        <v>FY 2022-23</v>
      </c>
      <c r="J170" s="260" t="str">
        <f>Calculation!K$32</f>
        <v>FY 2023-24</v>
      </c>
      <c r="K170" s="260" t="str">
        <f>Calculation!L$32</f>
        <v>FY 2024-25</v>
      </c>
      <c r="L170" s="260" t="str">
        <f>Calculation!M$32</f>
        <v>FY 2025-26</v>
      </c>
      <c r="M170" s="260" t="str">
        <f>Calculation!N$32</f>
        <v>FY 2026-27</v>
      </c>
      <c r="N170" s="260" t="str">
        <f>Calculation!O$32</f>
        <v>FY 2027-28</v>
      </c>
      <c r="O170" s="260" t="str">
        <f>Calculation!P$32</f>
        <v>FY 2028-29</v>
      </c>
      <c r="P170" s="260" t="str">
        <f>Calculation!Q$32</f>
        <v>FY 2029-30</v>
      </c>
      <c r="Q170" s="260" t="str">
        <f>Calculation!R$32</f>
        <v>FY 2030-31</v>
      </c>
      <c r="R170" s="260" t="str">
        <f>Calculation!S$32</f>
        <v>FY 2031-32</v>
      </c>
      <c r="S170" s="260" t="str">
        <f>Calculation!T$32</f>
        <v>FY 2032-33</v>
      </c>
      <c r="T170" s="260" t="str">
        <f>Calculation!U$32</f>
        <v>FY 2033-34</v>
      </c>
      <c r="U170" s="260" t="str">
        <f>Calculation!V$32</f>
        <v>FY 2034-35</v>
      </c>
      <c r="V170" s="260" t="str">
        <f>Calculation!W$32</f>
        <v>FY 2035-36</v>
      </c>
      <c r="W170" s="260" t="str">
        <f>Calculation!X$32</f>
        <v>FY 2036-37</v>
      </c>
      <c r="X170" s="260" t="str">
        <f>Calculation!Y$32</f>
        <v>FY 2037-38</v>
      </c>
      <c r="Y170" s="260" t="str">
        <f>Calculation!Z$32</f>
        <v>FY 2038-39</v>
      </c>
      <c r="Z170" s="260" t="str">
        <f>Calculation!AA$32</f>
        <v>FY 2039-40</v>
      </c>
      <c r="AA170" s="260" t="str">
        <f>Calculation!AB$32</f>
        <v>FY 2040-41</v>
      </c>
      <c r="AB170" s="260" t="str">
        <f>Calculation!AC$32</f>
        <v>FY 2041-42</v>
      </c>
      <c r="AC170" s="260" t="str">
        <f>Calculation!AD$32</f>
        <v>FY 2042-43</v>
      </c>
      <c r="AD170" s="260" t="str">
        <f>Calculation!AE$32</f>
        <v>FY 2043-44</v>
      </c>
      <c r="AE170" s="260" t="str">
        <f>Calculation!AF$32</f>
        <v>FY 2044-45</v>
      </c>
      <c r="AF170" s="260" t="str">
        <f>Calculation!AG$32</f>
        <v>FY 2045-46</v>
      </c>
      <c r="AG170" s="260" t="str">
        <f>Calculation!AH$32</f>
        <v>FY 2046-47</v>
      </c>
      <c r="AH170" s="260" t="str">
        <f>Calculation!AI$32</f>
        <v>FY 2047-48</v>
      </c>
      <c r="AI170" s="260" t="str">
        <f>Calculation!AJ$32</f>
        <v>FY 2048-49</v>
      </c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</row>
    <row r="171" spans="1:97" x14ac:dyDescent="0.25">
      <c r="B171" s="220">
        <f>+'Option inputs'!$B$14</f>
        <v>0</v>
      </c>
      <c r="C171" s="261" t="str">
        <f>'Option inputs'!$C$14</f>
        <v>Base case</v>
      </c>
      <c r="D171" s="218"/>
      <c r="E171" s="220" t="s">
        <v>35</v>
      </c>
      <c r="F171" s="254">
        <v>0</v>
      </c>
      <c r="G171" s="254">
        <v>777684429.63599598</v>
      </c>
      <c r="H171" s="254">
        <v>766671997.15847409</v>
      </c>
      <c r="I171" s="254">
        <v>1484224055.3825183</v>
      </c>
      <c r="J171" s="254">
        <v>1128879910.6254566</v>
      </c>
      <c r="K171" s="254">
        <v>4912117418.4224958</v>
      </c>
      <c r="L171" s="254">
        <v>3270003419.441143</v>
      </c>
      <c r="M171" s="254">
        <v>2524893225.5721564</v>
      </c>
      <c r="N171" s="254">
        <v>10618618315.142311</v>
      </c>
      <c r="O171" s="254">
        <v>5558561692.3208275</v>
      </c>
      <c r="P171" s="254">
        <v>4757340770.7763948</v>
      </c>
      <c r="Q171" s="254">
        <v>2303055020.8053498</v>
      </c>
      <c r="R171" s="254">
        <v>7467632107.2461138</v>
      </c>
      <c r="S171" s="254">
        <v>3409099293.1585007</v>
      </c>
      <c r="T171" s="254">
        <v>4139551759.2028737</v>
      </c>
      <c r="U171" s="254">
        <v>1320511980.5042567</v>
      </c>
      <c r="V171" s="254">
        <v>12085779603.502338</v>
      </c>
      <c r="W171" s="254">
        <v>3627198136.6727667</v>
      </c>
      <c r="X171" s="254">
        <v>2235211577.9406381</v>
      </c>
      <c r="Y171" s="254">
        <v>1410223847.674123</v>
      </c>
      <c r="Z171" s="254">
        <v>4463981676.800621</v>
      </c>
      <c r="AA171" s="254">
        <v>4573791248.178524</v>
      </c>
      <c r="AB171" s="254">
        <v>1759912385.3995595</v>
      </c>
      <c r="AC171" s="254">
        <v>775208248.2296437</v>
      </c>
      <c r="AD171" s="254">
        <v>5163178397.9791784</v>
      </c>
      <c r="AE171" s="254">
        <v>1143360798.4560232</v>
      </c>
      <c r="AF171" s="254"/>
      <c r="AG171" s="254"/>
      <c r="AH171" s="254"/>
      <c r="AI171" s="254"/>
      <c r="AJ171" s="262"/>
      <c r="AK171" s="262"/>
      <c r="AL171" s="262"/>
      <c r="AM171" s="262"/>
      <c r="AN171" s="262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62"/>
      <c r="BH171" s="262"/>
      <c r="BI171" s="262"/>
      <c r="BJ171" s="262"/>
      <c r="BK171" s="262"/>
      <c r="BL171" s="262"/>
      <c r="BM171" s="262"/>
      <c r="BN171" s="262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</row>
    <row r="172" spans="1:97" x14ac:dyDescent="0.25">
      <c r="B172" s="220">
        <f>+'Option inputs'!$B$15</f>
        <v>1</v>
      </c>
      <c r="C172" s="263" t="str">
        <f>'Option inputs'!$C$15</f>
        <v>Option 1A</v>
      </c>
      <c r="D172" s="218"/>
      <c r="E172" s="220" t="s">
        <v>35</v>
      </c>
      <c r="F172" s="254">
        <v>0</v>
      </c>
      <c r="G172" s="254">
        <v>777684404.56936586</v>
      </c>
      <c r="H172" s="254">
        <v>766666284.83558202</v>
      </c>
      <c r="I172" s="254">
        <v>1243220869.9548981</v>
      </c>
      <c r="J172" s="254">
        <v>1154698482.5121574</v>
      </c>
      <c r="K172" s="254">
        <v>4942949773.5218735</v>
      </c>
      <c r="L172" s="254">
        <v>3285995752.4727402</v>
      </c>
      <c r="M172" s="254">
        <v>2511203341.2789755</v>
      </c>
      <c r="N172" s="254">
        <v>10587549795.554447</v>
      </c>
      <c r="O172" s="254">
        <v>5533843571.5704393</v>
      </c>
      <c r="P172" s="254">
        <v>4727395118.5527754</v>
      </c>
      <c r="Q172" s="254">
        <v>2364409309.4686532</v>
      </c>
      <c r="R172" s="254">
        <v>7506032890.4993925</v>
      </c>
      <c r="S172" s="254">
        <v>3352914257.1635032</v>
      </c>
      <c r="T172" s="254">
        <v>4172717252.5035739</v>
      </c>
      <c r="U172" s="254">
        <v>1216046485.0768957</v>
      </c>
      <c r="V172" s="254">
        <v>11968314898.479656</v>
      </c>
      <c r="W172" s="254">
        <v>3622039925.6181746</v>
      </c>
      <c r="X172" s="254">
        <v>2306583812.0379043</v>
      </c>
      <c r="Y172" s="254">
        <v>1433909557.018718</v>
      </c>
      <c r="Z172" s="254">
        <v>4455448568.3607826</v>
      </c>
      <c r="AA172" s="254">
        <v>4559862689.245883</v>
      </c>
      <c r="AB172" s="254">
        <v>1766101429.5546656</v>
      </c>
      <c r="AC172" s="254">
        <v>776103328.00687766</v>
      </c>
      <c r="AD172" s="254">
        <v>5085940451.0057049</v>
      </c>
      <c r="AE172" s="254">
        <v>1156982674.2365019</v>
      </c>
      <c r="AF172" s="254"/>
      <c r="AG172" s="254"/>
      <c r="AH172" s="254"/>
      <c r="AI172" s="254"/>
      <c r="AJ172" s="262"/>
      <c r="AK172" s="262"/>
      <c r="AL172" s="262"/>
      <c r="AM172" s="262"/>
      <c r="AN172" s="262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62"/>
      <c r="BH172" s="262"/>
      <c r="BI172" s="262"/>
      <c r="BJ172" s="262"/>
      <c r="BK172" s="262"/>
      <c r="BL172" s="262"/>
      <c r="BM172" s="262"/>
      <c r="BN172" s="262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</row>
    <row r="173" spans="1:97" x14ac:dyDescent="0.25">
      <c r="B173" s="220">
        <f>+'Option inputs'!$B$16</f>
        <v>2</v>
      </c>
      <c r="C173" s="263" t="str">
        <f>'Option inputs'!$C$16</f>
        <v>Option 1B</v>
      </c>
      <c r="D173" s="218"/>
      <c r="E173" s="220" t="s">
        <v>35</v>
      </c>
      <c r="F173" s="254">
        <v>0</v>
      </c>
      <c r="G173" s="254">
        <v>777684855.2411201</v>
      </c>
      <c r="H173" s="254">
        <v>766670837.65720987</v>
      </c>
      <c r="I173" s="254">
        <v>1365420101.3476262</v>
      </c>
      <c r="J173" s="254">
        <v>1129461486.7656412</v>
      </c>
      <c r="K173" s="254">
        <v>4993043465.3575706</v>
      </c>
      <c r="L173" s="254">
        <v>3289375576.4115534</v>
      </c>
      <c r="M173" s="254">
        <v>2492081585.8548856</v>
      </c>
      <c r="N173" s="254">
        <v>10570635290.129599</v>
      </c>
      <c r="O173" s="254">
        <v>5563390944.743679</v>
      </c>
      <c r="P173" s="254">
        <v>4709797654.5354452</v>
      </c>
      <c r="Q173" s="254">
        <v>2353493727.3580904</v>
      </c>
      <c r="R173" s="254">
        <v>7535398524.8188257</v>
      </c>
      <c r="S173" s="254">
        <v>3284682246.1496487</v>
      </c>
      <c r="T173" s="254">
        <v>4156058053.7037826</v>
      </c>
      <c r="U173" s="254">
        <v>1297773804.9598563</v>
      </c>
      <c r="V173" s="254">
        <v>11985081937.40761</v>
      </c>
      <c r="W173" s="254">
        <v>3639076853.0533619</v>
      </c>
      <c r="X173" s="254">
        <v>2242729557.6319189</v>
      </c>
      <c r="Y173" s="254">
        <v>1422862678.5333743</v>
      </c>
      <c r="Z173" s="254">
        <v>4461662378.4264565</v>
      </c>
      <c r="AA173" s="254">
        <v>4564477761.4044418</v>
      </c>
      <c r="AB173" s="254">
        <v>1769194139.3229103</v>
      </c>
      <c r="AC173" s="254">
        <v>776125993.60924971</v>
      </c>
      <c r="AD173" s="254">
        <v>5116254286.9146223</v>
      </c>
      <c r="AE173" s="254">
        <v>1150622336.1513476</v>
      </c>
      <c r="AF173" s="254"/>
      <c r="AG173" s="254"/>
      <c r="AH173" s="254"/>
      <c r="AI173" s="254"/>
      <c r="AJ173" s="262"/>
      <c r="AK173" s="262"/>
      <c r="AL173" s="262"/>
      <c r="AM173" s="262"/>
      <c r="AN173" s="262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62"/>
      <c r="BH173" s="262"/>
      <c r="BI173" s="262"/>
      <c r="BJ173" s="262"/>
      <c r="BK173" s="262"/>
      <c r="BL173" s="262"/>
      <c r="BM173" s="262"/>
      <c r="BN173" s="262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</row>
    <row r="174" spans="1:97" x14ac:dyDescent="0.25">
      <c r="B174" s="220">
        <f>+'Option inputs'!$B$17</f>
        <v>3</v>
      </c>
      <c r="C174" s="263" t="str">
        <f>'Option inputs'!$C$17</f>
        <v>Option 1C</v>
      </c>
      <c r="D174" s="218"/>
      <c r="E174" s="220" t="s">
        <v>35</v>
      </c>
      <c r="F174" s="254">
        <v>0</v>
      </c>
      <c r="G174" s="254">
        <v>777684340.22701693</v>
      </c>
      <c r="H174" s="254">
        <v>766672434.80773413</v>
      </c>
      <c r="I174" s="254">
        <v>1496031161.8604407</v>
      </c>
      <c r="J174" s="254">
        <v>1128167770.1349304</v>
      </c>
      <c r="K174" s="254">
        <v>4793564398.6695662</v>
      </c>
      <c r="L174" s="254">
        <v>3237866896.5503135</v>
      </c>
      <c r="M174" s="254">
        <v>2539881786.8877125</v>
      </c>
      <c r="N174" s="254">
        <v>10647991060.513102</v>
      </c>
      <c r="O174" s="254">
        <v>5522563187.7031555</v>
      </c>
      <c r="P174" s="254">
        <v>4818719057.7820158</v>
      </c>
      <c r="Q174" s="254">
        <v>2281645605.5806942</v>
      </c>
      <c r="R174" s="254">
        <v>7461684591.1757364</v>
      </c>
      <c r="S174" s="254">
        <v>3468667151.911201</v>
      </c>
      <c r="T174" s="254">
        <v>4142339507.8201799</v>
      </c>
      <c r="U174" s="254">
        <v>1234367477.5430534</v>
      </c>
      <c r="V174" s="254">
        <v>12086384582.136162</v>
      </c>
      <c r="W174" s="254">
        <v>3636518772.972981</v>
      </c>
      <c r="X174" s="254">
        <v>2272109414.7758307</v>
      </c>
      <c r="Y174" s="254">
        <v>1430095653.5669994</v>
      </c>
      <c r="Z174" s="254">
        <v>4463910166.3442755</v>
      </c>
      <c r="AA174" s="254">
        <v>4566191812.6269445</v>
      </c>
      <c r="AB174" s="254">
        <v>1762383162.4632127</v>
      </c>
      <c r="AC174" s="254">
        <v>775056733.85988331</v>
      </c>
      <c r="AD174" s="254">
        <v>5133729774.0975018</v>
      </c>
      <c r="AE174" s="254">
        <v>1142079895.9130905</v>
      </c>
      <c r="AF174" s="254"/>
      <c r="AG174" s="254"/>
      <c r="AH174" s="254"/>
      <c r="AI174" s="254"/>
      <c r="AJ174" s="262"/>
      <c r="AK174" s="262"/>
      <c r="AL174" s="262"/>
      <c r="AM174" s="262"/>
      <c r="AN174" s="262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62"/>
      <c r="BH174" s="262"/>
      <c r="BI174" s="262"/>
      <c r="BJ174" s="262"/>
      <c r="BK174" s="262"/>
      <c r="BL174" s="262"/>
      <c r="BM174" s="262"/>
      <c r="BN174" s="262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</row>
    <row r="175" spans="1:97" x14ac:dyDescent="0.25">
      <c r="B175" s="220">
        <f>+'Option inputs'!$B$18</f>
        <v>4</v>
      </c>
      <c r="C175" s="263" t="str">
        <f>'Option inputs'!$C$18</f>
        <v>Option 1D</v>
      </c>
      <c r="D175" s="218"/>
      <c r="E175" s="220" t="s">
        <v>35</v>
      </c>
      <c r="F175" s="254">
        <v>0</v>
      </c>
      <c r="G175" s="254">
        <v>777684885.25137198</v>
      </c>
      <c r="H175" s="254">
        <v>766672729.52370191</v>
      </c>
      <c r="I175" s="254">
        <v>1480660265.9161792</v>
      </c>
      <c r="J175" s="254">
        <v>1135311690.8157196</v>
      </c>
      <c r="K175" s="254">
        <v>4806600211.1315441</v>
      </c>
      <c r="L175" s="254">
        <v>3253174654.0363278</v>
      </c>
      <c r="M175" s="254">
        <v>2536037660.9725776</v>
      </c>
      <c r="N175" s="254">
        <v>10646595186.203156</v>
      </c>
      <c r="O175" s="254">
        <v>5538588140.4413767</v>
      </c>
      <c r="P175" s="254">
        <v>4807667522.8472099</v>
      </c>
      <c r="Q175" s="254">
        <v>2274403516.7716475</v>
      </c>
      <c r="R175" s="254">
        <v>7499408550.5598717</v>
      </c>
      <c r="S175" s="254">
        <v>3429056595.5767608</v>
      </c>
      <c r="T175" s="254">
        <v>4118747260.6871853</v>
      </c>
      <c r="U175" s="254">
        <v>1322711895.7423151</v>
      </c>
      <c r="V175" s="254">
        <v>12060095887.902523</v>
      </c>
      <c r="W175" s="254">
        <v>3630308295.8666501</v>
      </c>
      <c r="X175" s="254">
        <v>2254645471.4091706</v>
      </c>
      <c r="Y175" s="254">
        <v>1423093178.5144525</v>
      </c>
      <c r="Z175" s="254">
        <v>4461454696.0620947</v>
      </c>
      <c r="AA175" s="254">
        <v>4573568710.2015514</v>
      </c>
      <c r="AB175" s="254">
        <v>1761273262.3236127</v>
      </c>
      <c r="AC175" s="254">
        <v>775038539.94659317</v>
      </c>
      <c r="AD175" s="254">
        <v>5155711406.1987171</v>
      </c>
      <c r="AE175" s="254">
        <v>1143971057.0753243</v>
      </c>
      <c r="AF175" s="254"/>
      <c r="AG175" s="254"/>
      <c r="AH175" s="254"/>
      <c r="AI175" s="254"/>
      <c r="AJ175" s="262"/>
      <c r="AK175" s="262"/>
      <c r="AL175" s="262"/>
      <c r="AM175" s="262"/>
      <c r="AN175" s="262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62"/>
      <c r="BH175" s="262"/>
      <c r="BI175" s="262"/>
      <c r="BJ175" s="262"/>
      <c r="BK175" s="262"/>
      <c r="BL175" s="262"/>
      <c r="BM175" s="262"/>
      <c r="BN175" s="262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</row>
    <row r="176" spans="1:97" x14ac:dyDescent="0.25">
      <c r="E176" s="215"/>
      <c r="AF176" s="207"/>
      <c r="AG176" s="207"/>
      <c r="AH176" s="207"/>
      <c r="AI176" s="207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</row>
    <row r="177" spans="2:97" ht="13" x14ac:dyDescent="0.3">
      <c r="B177" s="165" t="s">
        <v>14</v>
      </c>
      <c r="C177" s="216" t="s">
        <v>13</v>
      </c>
      <c r="D177" s="165" t="s">
        <v>86</v>
      </c>
      <c r="E177" s="217" t="s">
        <v>7</v>
      </c>
      <c r="F177" s="260" t="str">
        <f>Calculation!G$32</f>
        <v>FY 2019-20</v>
      </c>
      <c r="G177" s="260" t="str">
        <f>Calculation!H$32</f>
        <v>FY 2020-21</v>
      </c>
      <c r="H177" s="260" t="str">
        <f>Calculation!I$32</f>
        <v>FY 2021-22</v>
      </c>
      <c r="I177" s="260" t="str">
        <f>Calculation!J$32</f>
        <v>FY 2022-23</v>
      </c>
      <c r="J177" s="260" t="str">
        <f>Calculation!K$32</f>
        <v>FY 2023-24</v>
      </c>
      <c r="K177" s="260" t="str">
        <f>Calculation!L$32</f>
        <v>FY 2024-25</v>
      </c>
      <c r="L177" s="260" t="str">
        <f>Calculation!M$32</f>
        <v>FY 2025-26</v>
      </c>
      <c r="M177" s="260" t="str">
        <f>Calculation!N$32</f>
        <v>FY 2026-27</v>
      </c>
      <c r="N177" s="260" t="str">
        <f>Calculation!O$32</f>
        <v>FY 2027-28</v>
      </c>
      <c r="O177" s="260" t="str">
        <f>Calculation!P$32</f>
        <v>FY 2028-29</v>
      </c>
      <c r="P177" s="260" t="str">
        <f>Calculation!Q$32</f>
        <v>FY 2029-30</v>
      </c>
      <c r="Q177" s="260" t="str">
        <f>Calculation!R$32</f>
        <v>FY 2030-31</v>
      </c>
      <c r="R177" s="260" t="str">
        <f>Calculation!S$32</f>
        <v>FY 2031-32</v>
      </c>
      <c r="S177" s="260" t="str">
        <f>Calculation!T$32</f>
        <v>FY 2032-33</v>
      </c>
      <c r="T177" s="260" t="str">
        <f>Calculation!U$32</f>
        <v>FY 2033-34</v>
      </c>
      <c r="U177" s="260" t="str">
        <f>Calculation!V$32</f>
        <v>FY 2034-35</v>
      </c>
      <c r="V177" s="260" t="str">
        <f>Calculation!W$32</f>
        <v>FY 2035-36</v>
      </c>
      <c r="W177" s="260" t="str">
        <f>Calculation!X$32</f>
        <v>FY 2036-37</v>
      </c>
      <c r="X177" s="260" t="str">
        <f>Calculation!Y$32</f>
        <v>FY 2037-38</v>
      </c>
      <c r="Y177" s="260" t="str">
        <f>Calculation!Z$32</f>
        <v>FY 2038-39</v>
      </c>
      <c r="Z177" s="260" t="str">
        <f>Calculation!AA$32</f>
        <v>FY 2039-40</v>
      </c>
      <c r="AA177" s="260" t="str">
        <f>Calculation!AB$32</f>
        <v>FY 2040-41</v>
      </c>
      <c r="AB177" s="260" t="str">
        <f>Calculation!AC$32</f>
        <v>FY 2041-42</v>
      </c>
      <c r="AC177" s="260" t="str">
        <f>Calculation!AD$32</f>
        <v>FY 2042-43</v>
      </c>
      <c r="AD177" s="260" t="str">
        <f>Calculation!AE$32</f>
        <v>FY 2043-44</v>
      </c>
      <c r="AE177" s="260" t="str">
        <f>Calculation!AF$32</f>
        <v>FY 2044-45</v>
      </c>
      <c r="AF177" s="260" t="str">
        <f>Calculation!AG$32</f>
        <v>FY 2045-46</v>
      </c>
      <c r="AG177" s="260" t="str">
        <f>Calculation!AH$32</f>
        <v>FY 2046-47</v>
      </c>
      <c r="AH177" s="260" t="str">
        <f>Calculation!AI$32</f>
        <v>FY 2047-48</v>
      </c>
      <c r="AI177" s="260" t="str">
        <f>Calculation!AJ$32</f>
        <v>FY 2048-49</v>
      </c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</row>
    <row r="178" spans="2:97" x14ac:dyDescent="0.25">
      <c r="B178" s="220">
        <f>+'Option inputs'!$B$14</f>
        <v>0</v>
      </c>
      <c r="C178" s="261" t="str">
        <f>'Option inputs'!$C$14</f>
        <v>Base case</v>
      </c>
      <c r="D178" s="218"/>
      <c r="E178" s="220" t="s">
        <v>35</v>
      </c>
      <c r="F178" s="254">
        <v>0</v>
      </c>
      <c r="G178" s="254">
        <v>768103670.00837791</v>
      </c>
      <c r="H178" s="254">
        <v>744344834.36547029</v>
      </c>
      <c r="I178" s="254">
        <v>865250321.02731824</v>
      </c>
      <c r="J178" s="254">
        <v>713865926.87477899</v>
      </c>
      <c r="K178" s="254">
        <v>751307435.3848263</v>
      </c>
      <c r="L178" s="254">
        <v>863481567.72011769</v>
      </c>
      <c r="M178" s="254">
        <v>709889751.87432647</v>
      </c>
      <c r="N178" s="254">
        <v>776310913.29804683</v>
      </c>
      <c r="O178" s="254">
        <v>1536617643.4182556</v>
      </c>
      <c r="P178" s="254">
        <v>1429551529.7363548</v>
      </c>
      <c r="Q178" s="254">
        <v>641134385.02415955</v>
      </c>
      <c r="R178" s="254">
        <v>641963543.04831266</v>
      </c>
      <c r="S178" s="254">
        <v>1066127749.8388175</v>
      </c>
      <c r="T178" s="254">
        <v>1244284505.2096913</v>
      </c>
      <c r="U178" s="254">
        <v>643541610.48314476</v>
      </c>
      <c r="V178" s="254">
        <v>4022730173.5718269</v>
      </c>
      <c r="W178" s="254">
        <v>2953527968.8384275</v>
      </c>
      <c r="X178" s="254">
        <v>1868287183.7196965</v>
      </c>
      <c r="Y178" s="254">
        <v>1029007168.9574697</v>
      </c>
      <c r="Z178" s="254">
        <v>2298011359.9391413</v>
      </c>
      <c r="AA178" s="254">
        <v>2074499952.9034967</v>
      </c>
      <c r="AB178" s="254">
        <v>1404338909.34797</v>
      </c>
      <c r="AC178" s="254">
        <v>883117820.81751835</v>
      </c>
      <c r="AD178" s="254">
        <v>1840360732.1418991</v>
      </c>
      <c r="AE178" s="254">
        <v>886417925.28951514</v>
      </c>
      <c r="AF178" s="254"/>
      <c r="AG178" s="254"/>
      <c r="AH178" s="254"/>
      <c r="AI178" s="254"/>
      <c r="AJ178" s="262"/>
      <c r="AK178" s="262"/>
      <c r="AL178" s="262"/>
      <c r="AM178" s="262"/>
      <c r="AN178" s="262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62"/>
      <c r="BH178" s="262"/>
      <c r="BI178" s="262"/>
      <c r="BJ178" s="262"/>
      <c r="BK178" s="262"/>
      <c r="BL178" s="262"/>
      <c r="BM178" s="262"/>
      <c r="BN178" s="262"/>
      <c r="BO178" s="208"/>
      <c r="BP178" s="208"/>
      <c r="BQ178" s="208"/>
      <c r="BR178" s="208"/>
      <c r="BS178" s="208"/>
      <c r="BT178" s="208"/>
      <c r="BU178" s="208"/>
      <c r="BV178" s="208"/>
      <c r="BW178" s="208"/>
      <c r="BX178" s="208"/>
      <c r="BY178" s="208"/>
      <c r="BZ178" s="208"/>
      <c r="CA178" s="208"/>
      <c r="CB178" s="208"/>
      <c r="CC178" s="208"/>
      <c r="CD178" s="208"/>
      <c r="CE178" s="208"/>
      <c r="CF178" s="208"/>
      <c r="CG178" s="208"/>
      <c r="CH178" s="208"/>
      <c r="CI178" s="208"/>
      <c r="CJ178" s="208"/>
      <c r="CK178" s="208"/>
      <c r="CL178" s="208"/>
      <c r="CM178" s="208"/>
      <c r="CN178" s="208"/>
      <c r="CO178" s="208"/>
      <c r="CP178" s="208"/>
      <c r="CQ178" s="208"/>
      <c r="CR178" s="208"/>
      <c r="CS178" s="208"/>
    </row>
    <row r="179" spans="2:97" x14ac:dyDescent="0.25">
      <c r="B179" s="220">
        <f>+'Option inputs'!$B$15</f>
        <v>1</v>
      </c>
      <c r="C179" s="263" t="str">
        <f>'Option inputs'!$C$15</f>
        <v>Option 1A</v>
      </c>
      <c r="D179" s="218"/>
      <c r="E179" s="220" t="s">
        <v>35</v>
      </c>
      <c r="F179" s="254">
        <v>0</v>
      </c>
      <c r="G179" s="254">
        <v>768101827.72948086</v>
      </c>
      <c r="H179" s="254">
        <v>744342195.08459485</v>
      </c>
      <c r="I179" s="254">
        <v>739846614.44073963</v>
      </c>
      <c r="J179" s="254">
        <v>713333267.89141846</v>
      </c>
      <c r="K179" s="254">
        <v>723179513.98577571</v>
      </c>
      <c r="L179" s="254">
        <v>870541892.55157375</v>
      </c>
      <c r="M179" s="254">
        <v>709524963.65823317</v>
      </c>
      <c r="N179" s="254">
        <v>786348625.20877147</v>
      </c>
      <c r="O179" s="254">
        <v>1394817401.7096775</v>
      </c>
      <c r="P179" s="254">
        <v>1416211560.2783778</v>
      </c>
      <c r="Q179" s="254">
        <v>642193209.45714962</v>
      </c>
      <c r="R179" s="254">
        <v>642775544.3854295</v>
      </c>
      <c r="S179" s="254">
        <v>1078915571.5826671</v>
      </c>
      <c r="T179" s="254">
        <v>1253706083.1998708</v>
      </c>
      <c r="U179" s="254">
        <v>644512239.40315557</v>
      </c>
      <c r="V179" s="254">
        <v>4016645391.2039471</v>
      </c>
      <c r="W179" s="254">
        <v>2841469760.3033161</v>
      </c>
      <c r="X179" s="254">
        <v>2059429176.2256553</v>
      </c>
      <c r="Y179" s="254">
        <v>998627777.69040775</v>
      </c>
      <c r="Z179" s="254">
        <v>2308539192.9326954</v>
      </c>
      <c r="AA179" s="254">
        <v>2044076556.3131187</v>
      </c>
      <c r="AB179" s="254">
        <v>1460307643.2565591</v>
      </c>
      <c r="AC179" s="254">
        <v>896083326.96358049</v>
      </c>
      <c r="AD179" s="254">
        <v>1822746304.4403863</v>
      </c>
      <c r="AE179" s="254">
        <v>881101320.52944803</v>
      </c>
      <c r="AF179" s="254"/>
      <c r="AG179" s="254"/>
      <c r="AH179" s="254"/>
      <c r="AI179" s="254"/>
      <c r="AJ179" s="262"/>
      <c r="AK179" s="262"/>
      <c r="AL179" s="262"/>
      <c r="AM179" s="262"/>
      <c r="AN179" s="262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62"/>
      <c r="BH179" s="262"/>
      <c r="BI179" s="262"/>
      <c r="BJ179" s="262"/>
      <c r="BK179" s="262"/>
      <c r="BL179" s="262"/>
      <c r="BM179" s="262"/>
      <c r="BN179" s="262"/>
      <c r="BO179" s="208"/>
      <c r="BP179" s="208"/>
      <c r="BQ179" s="208"/>
      <c r="BR179" s="208"/>
      <c r="BS179" s="208"/>
      <c r="BT179" s="208"/>
      <c r="BU179" s="208"/>
      <c r="BV179" s="208"/>
      <c r="BW179" s="208"/>
      <c r="BX179" s="208"/>
      <c r="BY179" s="208"/>
      <c r="BZ179" s="208"/>
      <c r="CA179" s="208"/>
      <c r="CB179" s="208"/>
      <c r="CC179" s="208"/>
      <c r="CD179" s="208"/>
      <c r="CE179" s="208"/>
      <c r="CF179" s="208"/>
      <c r="CG179" s="208"/>
      <c r="CH179" s="208"/>
      <c r="CI179" s="208"/>
      <c r="CJ179" s="208"/>
      <c r="CK179" s="208"/>
      <c r="CL179" s="208"/>
      <c r="CM179" s="208"/>
      <c r="CN179" s="208"/>
      <c r="CO179" s="208"/>
      <c r="CP179" s="208"/>
      <c r="CQ179" s="208"/>
      <c r="CR179" s="208"/>
      <c r="CS179" s="208"/>
    </row>
    <row r="180" spans="2:97" x14ac:dyDescent="0.25">
      <c r="B180" s="220">
        <f>+'Option inputs'!$B$16</f>
        <v>2</v>
      </c>
      <c r="C180" s="263" t="str">
        <f>'Option inputs'!$C$16</f>
        <v>Option 1B</v>
      </c>
      <c r="D180" s="218"/>
      <c r="E180" s="220" t="s">
        <v>35</v>
      </c>
      <c r="F180" s="254">
        <v>0</v>
      </c>
      <c r="G180" s="254">
        <v>768101831.04479527</v>
      </c>
      <c r="H180" s="254">
        <v>744343652.30997646</v>
      </c>
      <c r="I180" s="254">
        <v>864759285.14257717</v>
      </c>
      <c r="J180" s="254">
        <v>713195639.30221391</v>
      </c>
      <c r="K180" s="254">
        <v>750640796.89947903</v>
      </c>
      <c r="L180" s="254">
        <v>864594934.85971344</v>
      </c>
      <c r="M180" s="254">
        <v>709571851.3707968</v>
      </c>
      <c r="N180" s="254">
        <v>775682117.42826521</v>
      </c>
      <c r="O180" s="254">
        <v>1526564479.5621789</v>
      </c>
      <c r="P180" s="254">
        <v>1424720450.9713459</v>
      </c>
      <c r="Q180" s="254">
        <v>641040566.17461717</v>
      </c>
      <c r="R180" s="254">
        <v>641626244.50351894</v>
      </c>
      <c r="S180" s="254">
        <v>1040130478.3798897</v>
      </c>
      <c r="T180" s="254">
        <v>1237260346.9975135</v>
      </c>
      <c r="U180" s="254">
        <v>643489987.55866647</v>
      </c>
      <c r="V180" s="254">
        <v>4074399914.9888091</v>
      </c>
      <c r="W180" s="254">
        <v>2890286866.0621347</v>
      </c>
      <c r="X180" s="254">
        <v>2037091930.5255868</v>
      </c>
      <c r="Y180" s="254">
        <v>1035426177.242725</v>
      </c>
      <c r="Z180" s="254">
        <v>2298587529.5187473</v>
      </c>
      <c r="AA180" s="254">
        <v>1997088831.045037</v>
      </c>
      <c r="AB180" s="254">
        <v>1454961016.4705539</v>
      </c>
      <c r="AC180" s="254">
        <v>885990540.46631455</v>
      </c>
      <c r="AD180" s="254">
        <v>1832487554.7529349</v>
      </c>
      <c r="AE180" s="254">
        <v>880535909.99675751</v>
      </c>
      <c r="AF180" s="254"/>
      <c r="AG180" s="254"/>
      <c r="AH180" s="254"/>
      <c r="AI180" s="254"/>
      <c r="AJ180" s="262"/>
      <c r="AK180" s="262"/>
      <c r="AL180" s="262"/>
      <c r="AM180" s="262"/>
      <c r="AN180" s="262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62"/>
      <c r="BH180" s="262"/>
      <c r="BI180" s="262"/>
      <c r="BJ180" s="262"/>
      <c r="BK180" s="262"/>
      <c r="BL180" s="262"/>
      <c r="BM180" s="262"/>
      <c r="BN180" s="262"/>
      <c r="BO180" s="208"/>
      <c r="BP180" s="208"/>
      <c r="BQ180" s="208"/>
      <c r="BR180" s="208"/>
      <c r="BS180" s="208"/>
      <c r="BT180" s="208"/>
      <c r="BU180" s="208"/>
      <c r="BV180" s="208"/>
      <c r="BW180" s="208"/>
      <c r="BX180" s="208"/>
      <c r="BY180" s="208"/>
      <c r="BZ180" s="208"/>
      <c r="CA180" s="208"/>
      <c r="CB180" s="208"/>
      <c r="CC180" s="208"/>
      <c r="CD180" s="208"/>
      <c r="CE180" s="208"/>
      <c r="CF180" s="208"/>
      <c r="CG180" s="208"/>
      <c r="CH180" s="208"/>
      <c r="CI180" s="208"/>
      <c r="CJ180" s="208"/>
      <c r="CK180" s="208"/>
      <c r="CL180" s="208"/>
      <c r="CM180" s="208"/>
      <c r="CN180" s="208"/>
      <c r="CO180" s="208"/>
      <c r="CP180" s="208"/>
      <c r="CQ180" s="208"/>
      <c r="CR180" s="208"/>
      <c r="CS180" s="208"/>
    </row>
    <row r="181" spans="2:97" x14ac:dyDescent="0.25">
      <c r="B181" s="220">
        <f>+'Option inputs'!$B$17</f>
        <v>3</v>
      </c>
      <c r="C181" s="263" t="str">
        <f>'Option inputs'!$C$17</f>
        <v>Option 1C</v>
      </c>
      <c r="D181" s="218"/>
      <c r="E181" s="220" t="s">
        <v>35</v>
      </c>
      <c r="F181" s="254">
        <v>0</v>
      </c>
      <c r="G181" s="254">
        <v>768101897.23859823</v>
      </c>
      <c r="H181" s="254">
        <v>744342722.78576994</v>
      </c>
      <c r="I181" s="254">
        <v>741383268.6907686</v>
      </c>
      <c r="J181" s="254">
        <v>714014044.81997514</v>
      </c>
      <c r="K181" s="254">
        <v>722893150.25927472</v>
      </c>
      <c r="L181" s="254">
        <v>871079847.02209282</v>
      </c>
      <c r="M181" s="254">
        <v>709884658.41882789</v>
      </c>
      <c r="N181" s="254">
        <v>786731943.55466175</v>
      </c>
      <c r="O181" s="254">
        <v>1383368297.0221276</v>
      </c>
      <c r="P181" s="254">
        <v>1420648201.7888877</v>
      </c>
      <c r="Q181" s="254">
        <v>642484295.14340591</v>
      </c>
      <c r="R181" s="254">
        <v>643419202.61198354</v>
      </c>
      <c r="S181" s="254">
        <v>1113773647.7065737</v>
      </c>
      <c r="T181" s="254">
        <v>1247141515.6835792</v>
      </c>
      <c r="U181" s="254">
        <v>644767863.54627812</v>
      </c>
      <c r="V181" s="254">
        <v>3987816563.9733143</v>
      </c>
      <c r="W181" s="254">
        <v>2924566072.6403956</v>
      </c>
      <c r="X181" s="254">
        <v>1878525696.3130214</v>
      </c>
      <c r="Y181" s="254">
        <v>1022969513.4612159</v>
      </c>
      <c r="Z181" s="254">
        <v>2299833596.4469438</v>
      </c>
      <c r="AA181" s="254">
        <v>2079097849.8214436</v>
      </c>
      <c r="AB181" s="254">
        <v>1433163453.2429383</v>
      </c>
      <c r="AC181" s="254">
        <v>898511496.39367414</v>
      </c>
      <c r="AD181" s="254">
        <v>1834051146.4513106</v>
      </c>
      <c r="AE181" s="254">
        <v>878622175.95405412</v>
      </c>
      <c r="AF181" s="254"/>
      <c r="AG181" s="254"/>
      <c r="AH181" s="254"/>
      <c r="AI181" s="254"/>
      <c r="AJ181" s="262"/>
      <c r="AK181" s="262"/>
      <c r="AL181" s="262"/>
      <c r="AM181" s="262"/>
      <c r="AN181" s="262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62"/>
      <c r="BH181" s="262"/>
      <c r="BI181" s="262"/>
      <c r="BJ181" s="262"/>
      <c r="BK181" s="262"/>
      <c r="BL181" s="262"/>
      <c r="BM181" s="262"/>
      <c r="BN181" s="262"/>
      <c r="BO181" s="208"/>
      <c r="BP181" s="208"/>
      <c r="BQ181" s="208"/>
      <c r="BR181" s="208"/>
      <c r="BS181" s="208"/>
      <c r="BT181" s="208"/>
      <c r="BU181" s="208"/>
      <c r="BV181" s="208"/>
      <c r="BW181" s="208"/>
      <c r="BX181" s="208"/>
      <c r="BY181" s="208"/>
      <c r="BZ181" s="208"/>
      <c r="CA181" s="208"/>
      <c r="CB181" s="208"/>
      <c r="CC181" s="208"/>
      <c r="CD181" s="208"/>
      <c r="CE181" s="208"/>
      <c r="CF181" s="208"/>
      <c r="CG181" s="208"/>
      <c r="CH181" s="208"/>
      <c r="CI181" s="208"/>
      <c r="CJ181" s="208"/>
      <c r="CK181" s="208"/>
      <c r="CL181" s="208"/>
      <c r="CM181" s="208"/>
      <c r="CN181" s="208"/>
      <c r="CO181" s="208"/>
      <c r="CP181" s="208"/>
      <c r="CQ181" s="208"/>
      <c r="CR181" s="208"/>
      <c r="CS181" s="208"/>
    </row>
    <row r="182" spans="2:97" x14ac:dyDescent="0.25">
      <c r="B182" s="220">
        <f>+'Option inputs'!$B$18</f>
        <v>4</v>
      </c>
      <c r="C182" s="263" t="str">
        <f>'Option inputs'!$C$18</f>
        <v>Option 1D</v>
      </c>
      <c r="D182" s="218"/>
      <c r="E182" s="220" t="s">
        <v>35</v>
      </c>
      <c r="F182" s="254">
        <v>0</v>
      </c>
      <c r="G182" s="254">
        <v>768101830.58754647</v>
      </c>
      <c r="H182" s="254">
        <v>744342912.11677802</v>
      </c>
      <c r="I182" s="254">
        <v>754231148.04483545</v>
      </c>
      <c r="J182" s="254">
        <v>713996060.89146435</v>
      </c>
      <c r="K182" s="254">
        <v>722865576.91627693</v>
      </c>
      <c r="L182" s="254">
        <v>881344047.26158786</v>
      </c>
      <c r="M182" s="254">
        <v>709884578.9440403</v>
      </c>
      <c r="N182" s="254">
        <v>780094265.63716483</v>
      </c>
      <c r="O182" s="254">
        <v>1458689062.7997086</v>
      </c>
      <c r="P182" s="254">
        <v>1429794317.5156124</v>
      </c>
      <c r="Q182" s="254">
        <v>642015247.61261189</v>
      </c>
      <c r="R182" s="254">
        <v>642917177.81628633</v>
      </c>
      <c r="S182" s="254">
        <v>1080954949.8659708</v>
      </c>
      <c r="T182" s="254">
        <v>1249720529.7605844</v>
      </c>
      <c r="U182" s="254">
        <v>644324918.98669696</v>
      </c>
      <c r="V182" s="254">
        <v>3969882682.1000066</v>
      </c>
      <c r="W182" s="254">
        <v>2951477411.0506907</v>
      </c>
      <c r="X182" s="254">
        <v>1874002517.8097463</v>
      </c>
      <c r="Y182" s="254">
        <v>1035081611.7362423</v>
      </c>
      <c r="Z182" s="254">
        <v>2306307831.8659148</v>
      </c>
      <c r="AA182" s="254">
        <v>2073309088.1888742</v>
      </c>
      <c r="AB182" s="254">
        <v>1433291217.9538448</v>
      </c>
      <c r="AC182" s="254">
        <v>891743120.84177196</v>
      </c>
      <c r="AD182" s="254">
        <v>1838024910.6369669</v>
      </c>
      <c r="AE182" s="254">
        <v>877695477.57951295</v>
      </c>
      <c r="AF182" s="254"/>
      <c r="AG182" s="254"/>
      <c r="AH182" s="254"/>
      <c r="AI182" s="254"/>
      <c r="AJ182" s="262"/>
      <c r="AK182" s="262"/>
      <c r="AL182" s="262"/>
      <c r="AM182" s="262"/>
      <c r="AN182" s="262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62"/>
      <c r="BH182" s="262"/>
      <c r="BI182" s="262"/>
      <c r="BJ182" s="262"/>
      <c r="BK182" s="262"/>
      <c r="BL182" s="262"/>
      <c r="BM182" s="262"/>
      <c r="BN182" s="262"/>
      <c r="BO182" s="208"/>
      <c r="BP182" s="208"/>
      <c r="BQ182" s="208"/>
      <c r="BR182" s="208"/>
      <c r="BS182" s="208"/>
      <c r="BT182" s="208"/>
      <c r="BU182" s="208"/>
      <c r="BV182" s="208"/>
      <c r="BW182" s="208"/>
      <c r="BX182" s="208"/>
      <c r="BY182" s="208"/>
      <c r="BZ182" s="208"/>
      <c r="CA182" s="208"/>
      <c r="CB182" s="208"/>
      <c r="CC182" s="208"/>
      <c r="CD182" s="208"/>
      <c r="CE182" s="208"/>
      <c r="CF182" s="208"/>
      <c r="CG182" s="208"/>
      <c r="CH182" s="208"/>
      <c r="CI182" s="208"/>
      <c r="CJ182" s="208"/>
      <c r="CK182" s="208"/>
      <c r="CL182" s="208"/>
      <c r="CM182" s="208"/>
      <c r="CN182" s="208"/>
      <c r="CO182" s="208"/>
      <c r="CP182" s="208"/>
      <c r="CQ182" s="208"/>
      <c r="CR182" s="208"/>
      <c r="CS182" s="208"/>
    </row>
    <row r="183" spans="2:97" x14ac:dyDescent="0.25">
      <c r="E183" s="215"/>
      <c r="AF183" s="207"/>
      <c r="AG183" s="207"/>
      <c r="AH183" s="207"/>
      <c r="AI183" s="207"/>
      <c r="AJ183" s="208"/>
      <c r="AK183" s="208"/>
      <c r="AL183" s="208"/>
      <c r="AM183" s="208"/>
      <c r="AN183" s="208"/>
      <c r="AO183" s="208"/>
      <c r="AP183" s="208"/>
      <c r="AQ183" s="208"/>
      <c r="AR183" s="208"/>
      <c r="AS183" s="208"/>
      <c r="AT183" s="208"/>
      <c r="AU183" s="208"/>
      <c r="AV183" s="208"/>
      <c r="AW183" s="208"/>
      <c r="AX183" s="208"/>
      <c r="AY183" s="208"/>
      <c r="AZ183" s="208"/>
      <c r="BA183" s="208"/>
      <c r="BB183" s="208"/>
      <c r="BC183" s="208"/>
      <c r="BD183" s="208"/>
      <c r="BE183" s="208"/>
      <c r="BF183" s="208"/>
      <c r="BG183" s="208"/>
      <c r="BH183" s="208"/>
      <c r="BI183" s="208"/>
      <c r="BJ183" s="208"/>
      <c r="BK183" s="208"/>
      <c r="BL183" s="208"/>
      <c r="BM183" s="208"/>
      <c r="BN183" s="208"/>
      <c r="BO183" s="208"/>
      <c r="BP183" s="208"/>
      <c r="BQ183" s="208"/>
      <c r="BR183" s="208"/>
      <c r="BS183" s="208"/>
      <c r="BT183" s="208"/>
      <c r="BU183" s="208"/>
      <c r="BV183" s="208"/>
      <c r="BW183" s="208"/>
      <c r="BX183" s="208"/>
      <c r="BY183" s="208"/>
      <c r="BZ183" s="208"/>
      <c r="CA183" s="208"/>
      <c r="CB183" s="208"/>
      <c r="CC183" s="208"/>
      <c r="CD183" s="208"/>
      <c r="CE183" s="208"/>
      <c r="CF183" s="208"/>
      <c r="CG183" s="208"/>
      <c r="CH183" s="208"/>
      <c r="CI183" s="208"/>
      <c r="CJ183" s="208"/>
      <c r="CK183" s="208"/>
      <c r="CL183" s="208"/>
      <c r="CM183" s="208"/>
      <c r="CN183" s="208"/>
      <c r="CO183" s="208"/>
      <c r="CP183" s="208"/>
      <c r="CQ183" s="208"/>
      <c r="CR183" s="208"/>
      <c r="CS183" s="208"/>
    </row>
    <row r="184" spans="2:97" ht="13" x14ac:dyDescent="0.3">
      <c r="B184" s="165" t="s">
        <v>14</v>
      </c>
      <c r="C184" s="216" t="s">
        <v>13</v>
      </c>
      <c r="D184" s="165" t="s">
        <v>87</v>
      </c>
      <c r="E184" s="217" t="s">
        <v>7</v>
      </c>
      <c r="F184" s="260" t="str">
        <f>Calculation!G$32</f>
        <v>FY 2019-20</v>
      </c>
      <c r="G184" s="260" t="str">
        <f>Calculation!H$32</f>
        <v>FY 2020-21</v>
      </c>
      <c r="H184" s="260" t="str">
        <f>Calculation!I$32</f>
        <v>FY 2021-22</v>
      </c>
      <c r="I184" s="260" t="str">
        <f>Calculation!J$32</f>
        <v>FY 2022-23</v>
      </c>
      <c r="J184" s="260" t="str">
        <f>Calculation!K$32</f>
        <v>FY 2023-24</v>
      </c>
      <c r="K184" s="260" t="str">
        <f>Calculation!L$32</f>
        <v>FY 2024-25</v>
      </c>
      <c r="L184" s="260" t="str">
        <f>Calculation!M$32</f>
        <v>FY 2025-26</v>
      </c>
      <c r="M184" s="260" t="str">
        <f>Calculation!N$32</f>
        <v>FY 2026-27</v>
      </c>
      <c r="N184" s="260" t="str">
        <f>Calculation!O$32</f>
        <v>FY 2027-28</v>
      </c>
      <c r="O184" s="260" t="str">
        <f>Calculation!P$32</f>
        <v>FY 2028-29</v>
      </c>
      <c r="P184" s="260" t="str">
        <f>Calculation!Q$32</f>
        <v>FY 2029-30</v>
      </c>
      <c r="Q184" s="260" t="str">
        <f>Calculation!R$32</f>
        <v>FY 2030-31</v>
      </c>
      <c r="R184" s="260" t="str">
        <f>Calculation!S$32</f>
        <v>FY 2031-32</v>
      </c>
      <c r="S184" s="260" t="str">
        <f>Calculation!T$32</f>
        <v>FY 2032-33</v>
      </c>
      <c r="T184" s="260" t="str">
        <f>Calculation!U$32</f>
        <v>FY 2033-34</v>
      </c>
      <c r="U184" s="260" t="str">
        <f>Calculation!V$32</f>
        <v>FY 2034-35</v>
      </c>
      <c r="V184" s="260" t="str">
        <f>Calculation!W$32</f>
        <v>FY 2035-36</v>
      </c>
      <c r="W184" s="260" t="str">
        <f>Calculation!X$32</f>
        <v>FY 2036-37</v>
      </c>
      <c r="X184" s="260" t="str">
        <f>Calculation!Y$32</f>
        <v>FY 2037-38</v>
      </c>
      <c r="Y184" s="260" t="str">
        <f>Calculation!Z$32</f>
        <v>FY 2038-39</v>
      </c>
      <c r="Z184" s="260" t="str">
        <f>Calculation!AA$32</f>
        <v>FY 2039-40</v>
      </c>
      <c r="AA184" s="260" t="str">
        <f>Calculation!AB$32</f>
        <v>FY 2040-41</v>
      </c>
      <c r="AB184" s="260" t="str">
        <f>Calculation!AC$32</f>
        <v>FY 2041-42</v>
      </c>
      <c r="AC184" s="260" t="str">
        <f>Calculation!AD$32</f>
        <v>FY 2042-43</v>
      </c>
      <c r="AD184" s="260" t="str">
        <f>Calculation!AE$32</f>
        <v>FY 2043-44</v>
      </c>
      <c r="AE184" s="260" t="str">
        <f>Calculation!AF$32</f>
        <v>FY 2044-45</v>
      </c>
      <c r="AF184" s="260" t="str">
        <f>Calculation!AG$32</f>
        <v>FY 2045-46</v>
      </c>
      <c r="AG184" s="260" t="str">
        <f>Calculation!AH$32</f>
        <v>FY 2046-47</v>
      </c>
      <c r="AH184" s="260" t="str">
        <f>Calculation!AI$32</f>
        <v>FY 2047-48</v>
      </c>
      <c r="AI184" s="260" t="str">
        <f>Calculation!AJ$32</f>
        <v>FY 2048-49</v>
      </c>
      <c r="AJ184" s="208"/>
      <c r="AK184" s="208"/>
      <c r="AL184" s="208"/>
      <c r="AM184" s="208"/>
      <c r="AN184" s="208"/>
      <c r="AO184" s="208"/>
      <c r="AP184" s="208"/>
      <c r="AQ184" s="208"/>
      <c r="AR184" s="208"/>
      <c r="AS184" s="208"/>
      <c r="AT184" s="208"/>
      <c r="AU184" s="208"/>
      <c r="AV184" s="208"/>
      <c r="AW184" s="208"/>
      <c r="AX184" s="208"/>
      <c r="AY184" s="208"/>
      <c r="AZ184" s="208"/>
      <c r="BA184" s="208"/>
      <c r="BB184" s="208"/>
      <c r="BC184" s="208"/>
      <c r="BD184" s="208"/>
      <c r="BE184" s="208"/>
      <c r="BF184" s="208"/>
      <c r="BG184" s="208"/>
      <c r="BH184" s="208"/>
      <c r="BI184" s="208"/>
      <c r="BJ184" s="208"/>
      <c r="BK184" s="208"/>
      <c r="BL184" s="208"/>
      <c r="BM184" s="208"/>
      <c r="BN184" s="208"/>
      <c r="BO184" s="208"/>
      <c r="BP184" s="208"/>
      <c r="BQ184" s="208"/>
      <c r="BR184" s="208"/>
      <c r="BS184" s="208"/>
      <c r="BT184" s="208"/>
      <c r="BU184" s="208"/>
      <c r="BV184" s="208"/>
      <c r="BW184" s="208"/>
      <c r="BX184" s="208"/>
      <c r="BY184" s="208"/>
      <c r="BZ184" s="208"/>
      <c r="CA184" s="208"/>
      <c r="CB184" s="208"/>
      <c r="CC184" s="208"/>
      <c r="CD184" s="208"/>
      <c r="CE184" s="208"/>
      <c r="CF184" s="208"/>
      <c r="CG184" s="208"/>
      <c r="CH184" s="208"/>
      <c r="CI184" s="208"/>
      <c r="CJ184" s="208"/>
      <c r="CK184" s="208"/>
      <c r="CL184" s="208"/>
      <c r="CM184" s="208"/>
      <c r="CN184" s="208"/>
      <c r="CO184" s="208"/>
      <c r="CP184" s="208"/>
      <c r="CQ184" s="208"/>
      <c r="CR184" s="208"/>
      <c r="CS184" s="208"/>
    </row>
    <row r="185" spans="2:97" x14ac:dyDescent="0.25">
      <c r="B185" s="220">
        <f>+'Option inputs'!$B$14</f>
        <v>0</v>
      </c>
      <c r="C185" s="261" t="str">
        <f>'Option inputs'!$C$14</f>
        <v>Base case</v>
      </c>
      <c r="D185" s="218"/>
      <c r="E185" s="220" t="s">
        <v>35</v>
      </c>
      <c r="F185" s="254">
        <v>0</v>
      </c>
      <c r="G185" s="254">
        <v>823399615.76519167</v>
      </c>
      <c r="H185" s="254">
        <v>882265351.72931516</v>
      </c>
      <c r="I185" s="254">
        <v>1928288502.3410885</v>
      </c>
      <c r="J185" s="254">
        <v>2440580724.6866894</v>
      </c>
      <c r="K185" s="254">
        <v>6371890183.8154659</v>
      </c>
      <c r="L185" s="254">
        <v>4674763416.1237631</v>
      </c>
      <c r="M185" s="254">
        <v>4156847976.8094373</v>
      </c>
      <c r="N185" s="254">
        <v>11679532753.328632</v>
      </c>
      <c r="O185" s="254">
        <v>6763441612.2177038</v>
      </c>
      <c r="P185" s="254">
        <v>6123948770.130023</v>
      </c>
      <c r="Q185" s="254">
        <v>4705272446.3841362</v>
      </c>
      <c r="R185" s="254">
        <v>9282504722.0139923</v>
      </c>
      <c r="S185" s="254">
        <v>4387984603.0155678</v>
      </c>
      <c r="T185" s="254">
        <v>3502409645.775826</v>
      </c>
      <c r="U185" s="254">
        <v>2061744353.8190691</v>
      </c>
      <c r="V185" s="254">
        <v>13996653995.2092</v>
      </c>
      <c r="W185" s="254">
        <v>4944539960.8264503</v>
      </c>
      <c r="X185" s="254">
        <v>3259190394.1036553</v>
      </c>
      <c r="Y185" s="254">
        <v>1743718274.8510334</v>
      </c>
      <c r="Z185" s="254">
        <v>5811971603.3709869</v>
      </c>
      <c r="AA185" s="254">
        <v>4834718552.1017027</v>
      </c>
      <c r="AB185" s="254">
        <v>1673966335.8920786</v>
      </c>
      <c r="AC185" s="254">
        <v>951992367.47189879</v>
      </c>
      <c r="AD185" s="254">
        <v>4386382656.9229507</v>
      </c>
      <c r="AE185" s="254">
        <v>1479632509.5476635</v>
      </c>
      <c r="AF185" s="254"/>
      <c r="AG185" s="254"/>
      <c r="AH185" s="254"/>
      <c r="AI185" s="254"/>
      <c r="AJ185" s="262"/>
      <c r="AK185" s="262"/>
      <c r="AL185" s="262"/>
      <c r="AM185" s="262"/>
      <c r="AN185" s="262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62"/>
      <c r="BH185" s="262"/>
      <c r="BI185" s="262"/>
      <c r="BJ185" s="262"/>
      <c r="BK185" s="262"/>
      <c r="BL185" s="262"/>
      <c r="BM185" s="262"/>
      <c r="BN185" s="262"/>
      <c r="BO185" s="208"/>
      <c r="BP185" s="208"/>
      <c r="BQ185" s="208"/>
      <c r="BR185" s="208"/>
      <c r="BS185" s="208"/>
      <c r="BT185" s="208"/>
      <c r="BU185" s="208"/>
      <c r="BV185" s="208"/>
      <c r="BW185" s="208"/>
      <c r="BX185" s="208"/>
      <c r="BY185" s="208"/>
      <c r="BZ185" s="208"/>
      <c r="CA185" s="208"/>
      <c r="CB185" s="208"/>
      <c r="CC185" s="208"/>
      <c r="CD185" s="208"/>
      <c r="CE185" s="208"/>
      <c r="CF185" s="208"/>
      <c r="CG185" s="208"/>
      <c r="CH185" s="208"/>
      <c r="CI185" s="208"/>
      <c r="CJ185" s="208"/>
      <c r="CK185" s="208"/>
      <c r="CL185" s="208"/>
      <c r="CM185" s="208"/>
      <c r="CN185" s="208"/>
      <c r="CO185" s="208"/>
      <c r="CP185" s="208"/>
      <c r="CQ185" s="208"/>
      <c r="CR185" s="208"/>
      <c r="CS185" s="208"/>
    </row>
    <row r="186" spans="2:97" x14ac:dyDescent="0.25">
      <c r="B186" s="220">
        <f>+'Option inputs'!$B$15</f>
        <v>1</v>
      </c>
      <c r="C186" s="263" t="str">
        <f>'Option inputs'!$C$15</f>
        <v>Option 1A</v>
      </c>
      <c r="D186" s="218"/>
      <c r="E186" s="220" t="s">
        <v>35</v>
      </c>
      <c r="F186" s="254">
        <v>0</v>
      </c>
      <c r="G186" s="254">
        <v>823398756.42026544</v>
      </c>
      <c r="H186" s="254">
        <v>848370630.11036861</v>
      </c>
      <c r="I186" s="254">
        <v>1768397467.027133</v>
      </c>
      <c r="J186" s="254">
        <v>2259084728.9745612</v>
      </c>
      <c r="K186" s="254">
        <v>6423266564.2176847</v>
      </c>
      <c r="L186" s="254">
        <v>4738553765.0878029</v>
      </c>
      <c r="M186" s="254">
        <v>4191125918.477159</v>
      </c>
      <c r="N186" s="254">
        <v>11624255782.437845</v>
      </c>
      <c r="O186" s="254">
        <v>6830390946.9095955</v>
      </c>
      <c r="P186" s="254">
        <v>6157502308.730176</v>
      </c>
      <c r="Q186" s="254">
        <v>4795221729.2528076</v>
      </c>
      <c r="R186" s="254">
        <v>9108137484.9093285</v>
      </c>
      <c r="S186" s="254">
        <v>4356228819.1721125</v>
      </c>
      <c r="T186" s="254">
        <v>3544738820.4507899</v>
      </c>
      <c r="U186" s="254">
        <v>1974847200.8640692</v>
      </c>
      <c r="V186" s="254">
        <v>13832076554.678164</v>
      </c>
      <c r="W186" s="254">
        <v>5046367014.1576662</v>
      </c>
      <c r="X186" s="254">
        <v>3275234246.2205811</v>
      </c>
      <c r="Y186" s="254">
        <v>1782236738.995626</v>
      </c>
      <c r="Z186" s="254">
        <v>5649045918.1057453</v>
      </c>
      <c r="AA186" s="254">
        <v>4816266144.5569077</v>
      </c>
      <c r="AB186" s="254">
        <v>1534450594.0022275</v>
      </c>
      <c r="AC186" s="254">
        <v>965648128.17038012</v>
      </c>
      <c r="AD186" s="254">
        <v>4415320187.5814209</v>
      </c>
      <c r="AE186" s="254">
        <v>1459339452.7835207</v>
      </c>
      <c r="AF186" s="254"/>
      <c r="AG186" s="254"/>
      <c r="AH186" s="254"/>
      <c r="AI186" s="254"/>
      <c r="AJ186" s="262"/>
      <c r="AK186" s="262"/>
      <c r="AL186" s="262"/>
      <c r="AM186" s="262"/>
      <c r="AN186" s="262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62"/>
      <c r="BH186" s="262"/>
      <c r="BI186" s="262"/>
      <c r="BJ186" s="262"/>
      <c r="BK186" s="262"/>
      <c r="BL186" s="262"/>
      <c r="BM186" s="262"/>
      <c r="BN186" s="262"/>
      <c r="BO186" s="208"/>
      <c r="BP186" s="208"/>
      <c r="BQ186" s="208"/>
      <c r="BR186" s="208"/>
      <c r="BS186" s="208"/>
      <c r="BT186" s="208"/>
      <c r="BU186" s="208"/>
      <c r="BV186" s="208"/>
      <c r="BW186" s="208"/>
      <c r="BX186" s="208"/>
      <c r="BY186" s="208"/>
      <c r="BZ186" s="208"/>
      <c r="CA186" s="208"/>
      <c r="CB186" s="208"/>
      <c r="CC186" s="208"/>
      <c r="CD186" s="208"/>
      <c r="CE186" s="208"/>
      <c r="CF186" s="208"/>
      <c r="CG186" s="208"/>
      <c r="CH186" s="208"/>
      <c r="CI186" s="208"/>
      <c r="CJ186" s="208"/>
      <c r="CK186" s="208"/>
      <c r="CL186" s="208"/>
      <c r="CM186" s="208"/>
      <c r="CN186" s="208"/>
      <c r="CO186" s="208"/>
      <c r="CP186" s="208"/>
      <c r="CQ186" s="208"/>
      <c r="CR186" s="208"/>
      <c r="CS186" s="208"/>
    </row>
    <row r="187" spans="2:97" x14ac:dyDescent="0.25">
      <c r="B187" s="220">
        <f>+'Option inputs'!$B$16</f>
        <v>2</v>
      </c>
      <c r="C187" s="263" t="str">
        <f>'Option inputs'!$C$16</f>
        <v>Option 1B</v>
      </c>
      <c r="D187" s="218"/>
      <c r="E187" s="220" t="s">
        <v>35</v>
      </c>
      <c r="F187" s="254">
        <v>0</v>
      </c>
      <c r="G187" s="254">
        <v>823400012.46427989</v>
      </c>
      <c r="H187" s="254">
        <v>882257329.77274382</v>
      </c>
      <c r="I187" s="254">
        <v>1938206998.9761064</v>
      </c>
      <c r="J187" s="254">
        <v>2360926685.4761543</v>
      </c>
      <c r="K187" s="254">
        <v>6403231571.519803</v>
      </c>
      <c r="L187" s="254">
        <v>4706074018.5228806</v>
      </c>
      <c r="M187" s="254">
        <v>4159857129.1850524</v>
      </c>
      <c r="N187" s="254">
        <v>11625311952.171381</v>
      </c>
      <c r="O187" s="254">
        <v>6751116202.3830357</v>
      </c>
      <c r="P187" s="254">
        <v>6114539428.1039829</v>
      </c>
      <c r="Q187" s="254">
        <v>4773524620.9100809</v>
      </c>
      <c r="R187" s="254">
        <v>9177116893.5425034</v>
      </c>
      <c r="S187" s="254">
        <v>4374110648.9725103</v>
      </c>
      <c r="T187" s="254">
        <v>3550086337.6236682</v>
      </c>
      <c r="U187" s="254">
        <v>2017118042.9783044</v>
      </c>
      <c r="V187" s="254">
        <v>13825154413.762922</v>
      </c>
      <c r="W187" s="254">
        <v>5006143301.597333</v>
      </c>
      <c r="X187" s="254">
        <v>3271576948.6470995</v>
      </c>
      <c r="Y187" s="254">
        <v>1743571266.7127724</v>
      </c>
      <c r="Z187" s="254">
        <v>5778469497.7832642</v>
      </c>
      <c r="AA187" s="254">
        <v>4820176121.4404879</v>
      </c>
      <c r="AB187" s="254">
        <v>1539422627.2745497</v>
      </c>
      <c r="AC187" s="254">
        <v>966294658.87051439</v>
      </c>
      <c r="AD187" s="254">
        <v>4396420648.6930723</v>
      </c>
      <c r="AE187" s="254">
        <v>1471128711.9559877</v>
      </c>
      <c r="AF187" s="254"/>
      <c r="AG187" s="254"/>
      <c r="AH187" s="254"/>
      <c r="AI187" s="254"/>
      <c r="AJ187" s="262"/>
      <c r="AK187" s="262"/>
      <c r="AL187" s="262"/>
      <c r="AM187" s="262"/>
      <c r="AN187" s="262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62"/>
      <c r="BH187" s="262"/>
      <c r="BI187" s="262"/>
      <c r="BJ187" s="262"/>
      <c r="BK187" s="262"/>
      <c r="BL187" s="262"/>
      <c r="BM187" s="262"/>
      <c r="BN187" s="262"/>
      <c r="BO187" s="208"/>
      <c r="BP187" s="208"/>
      <c r="BQ187" s="208"/>
      <c r="BR187" s="208"/>
      <c r="BS187" s="208"/>
      <c r="BT187" s="208"/>
      <c r="BU187" s="208"/>
      <c r="BV187" s="208"/>
      <c r="BW187" s="208"/>
      <c r="BX187" s="208"/>
      <c r="BY187" s="208"/>
      <c r="BZ187" s="208"/>
      <c r="CA187" s="208"/>
      <c r="CB187" s="208"/>
      <c r="CC187" s="208"/>
      <c r="CD187" s="208"/>
      <c r="CE187" s="208"/>
      <c r="CF187" s="208"/>
      <c r="CG187" s="208"/>
      <c r="CH187" s="208"/>
      <c r="CI187" s="208"/>
      <c r="CJ187" s="208"/>
      <c r="CK187" s="208"/>
      <c r="CL187" s="208"/>
      <c r="CM187" s="208"/>
      <c r="CN187" s="208"/>
      <c r="CO187" s="208"/>
      <c r="CP187" s="208"/>
      <c r="CQ187" s="208"/>
      <c r="CR187" s="208"/>
      <c r="CS187" s="208"/>
    </row>
    <row r="188" spans="2:97" x14ac:dyDescent="0.25">
      <c r="B188" s="220">
        <f>+'Option inputs'!$B$17</f>
        <v>3</v>
      </c>
      <c r="C188" s="263" t="str">
        <f>'Option inputs'!$C$17</f>
        <v>Option 1C</v>
      </c>
      <c r="D188" s="218"/>
      <c r="E188" s="220" t="s">
        <v>35</v>
      </c>
      <c r="F188" s="254">
        <v>0</v>
      </c>
      <c r="G188" s="254">
        <v>823398681.71955705</v>
      </c>
      <c r="H188" s="254">
        <v>868853930.87629724</v>
      </c>
      <c r="I188" s="254">
        <v>1895170533.7078638</v>
      </c>
      <c r="J188" s="254">
        <v>2264518581.4481783</v>
      </c>
      <c r="K188" s="254">
        <v>6352602601.178916</v>
      </c>
      <c r="L188" s="254">
        <v>4693552714.5612593</v>
      </c>
      <c r="M188" s="254">
        <v>4186250320.1467776</v>
      </c>
      <c r="N188" s="254">
        <v>11672884082.214115</v>
      </c>
      <c r="O188" s="254">
        <v>6827516373.2818356</v>
      </c>
      <c r="P188" s="254">
        <v>6192806984.3361626</v>
      </c>
      <c r="Q188" s="254">
        <v>4739484286.9773169</v>
      </c>
      <c r="R188" s="254">
        <v>9188356770.8198891</v>
      </c>
      <c r="S188" s="254">
        <v>4398214857.7220697</v>
      </c>
      <c r="T188" s="254">
        <v>3438792665.1153603</v>
      </c>
      <c r="U188" s="254">
        <v>2020868502.6971762</v>
      </c>
      <c r="V188" s="254">
        <v>14009395687.758543</v>
      </c>
      <c r="W188" s="254">
        <v>5032068124.247241</v>
      </c>
      <c r="X188" s="254">
        <v>3274176269.3851075</v>
      </c>
      <c r="Y188" s="254">
        <v>1767381711.749131</v>
      </c>
      <c r="Z188" s="254">
        <v>5695663119.4866924</v>
      </c>
      <c r="AA188" s="254">
        <v>4831756610.1772184</v>
      </c>
      <c r="AB188" s="254">
        <v>1667130260.000514</v>
      </c>
      <c r="AC188" s="254">
        <v>952232062.51820993</v>
      </c>
      <c r="AD188" s="254">
        <v>4391299333.3689194</v>
      </c>
      <c r="AE188" s="254">
        <v>1475122102.927417</v>
      </c>
      <c r="AF188" s="254"/>
      <c r="AG188" s="254"/>
      <c r="AH188" s="254"/>
      <c r="AI188" s="254"/>
      <c r="AJ188" s="262"/>
      <c r="AK188" s="262"/>
      <c r="AL188" s="262"/>
      <c r="AM188" s="262"/>
      <c r="AN188" s="262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62"/>
      <c r="BH188" s="262"/>
      <c r="BI188" s="262"/>
      <c r="BJ188" s="262"/>
      <c r="BK188" s="262"/>
      <c r="BL188" s="262"/>
      <c r="BM188" s="262"/>
      <c r="BN188" s="262"/>
      <c r="BO188" s="208"/>
      <c r="BP188" s="208"/>
      <c r="BQ188" s="208"/>
      <c r="BR188" s="208"/>
      <c r="BS188" s="208"/>
      <c r="BT188" s="208"/>
      <c r="BU188" s="208"/>
      <c r="BV188" s="208"/>
      <c r="BW188" s="208"/>
      <c r="BX188" s="208"/>
      <c r="BY188" s="208"/>
      <c r="BZ188" s="208"/>
      <c r="CA188" s="208"/>
      <c r="CB188" s="208"/>
      <c r="CC188" s="208"/>
      <c r="CD188" s="208"/>
      <c r="CE188" s="208"/>
      <c r="CF188" s="208"/>
      <c r="CG188" s="208"/>
      <c r="CH188" s="208"/>
      <c r="CI188" s="208"/>
      <c r="CJ188" s="208"/>
      <c r="CK188" s="208"/>
      <c r="CL188" s="208"/>
      <c r="CM188" s="208"/>
      <c r="CN188" s="208"/>
      <c r="CO188" s="208"/>
      <c r="CP188" s="208"/>
      <c r="CQ188" s="208"/>
      <c r="CR188" s="208"/>
      <c r="CS188" s="208"/>
    </row>
    <row r="189" spans="2:97" x14ac:dyDescent="0.25">
      <c r="B189" s="220">
        <f>+'Option inputs'!$B$18</f>
        <v>4</v>
      </c>
      <c r="C189" s="263" t="str">
        <f>'Option inputs'!$C$18</f>
        <v>Option 1D</v>
      </c>
      <c r="D189" s="218"/>
      <c r="E189" s="220" t="s">
        <v>35</v>
      </c>
      <c r="F189" s="254">
        <v>0</v>
      </c>
      <c r="G189" s="254">
        <v>823399504.57678854</v>
      </c>
      <c r="H189" s="254">
        <v>882276049.88801837</v>
      </c>
      <c r="I189" s="254">
        <v>1879779216.1575868</v>
      </c>
      <c r="J189" s="254">
        <v>2265369606.8535776</v>
      </c>
      <c r="K189" s="254">
        <v>6379156578.024951</v>
      </c>
      <c r="L189" s="254">
        <v>4690442978.814023</v>
      </c>
      <c r="M189" s="254">
        <v>4185699411.8471665</v>
      </c>
      <c r="N189" s="254">
        <v>11704527554.485188</v>
      </c>
      <c r="O189" s="254">
        <v>6807746615.9221487</v>
      </c>
      <c r="P189" s="254">
        <v>6173550997.5453196</v>
      </c>
      <c r="Q189" s="254">
        <v>4736186796.9256544</v>
      </c>
      <c r="R189" s="254">
        <v>9239279544.8151455</v>
      </c>
      <c r="S189" s="254">
        <v>4398402948.8878431</v>
      </c>
      <c r="T189" s="254">
        <v>3440063916.1303549</v>
      </c>
      <c r="U189" s="254">
        <v>2094674553.1825576</v>
      </c>
      <c r="V189" s="254">
        <v>13990771036.041994</v>
      </c>
      <c r="W189" s="254">
        <v>4946577457.8417263</v>
      </c>
      <c r="X189" s="254">
        <v>3276226847.1394768</v>
      </c>
      <c r="Y189" s="254">
        <v>1759295522.8807163</v>
      </c>
      <c r="Z189" s="254">
        <v>5798867555.2015238</v>
      </c>
      <c r="AA189" s="254">
        <v>4839585621.0412474</v>
      </c>
      <c r="AB189" s="254">
        <v>1665092312.1726613</v>
      </c>
      <c r="AC189" s="254">
        <v>952408716.40683007</v>
      </c>
      <c r="AD189" s="254">
        <v>4387032141.8175945</v>
      </c>
      <c r="AE189" s="254">
        <v>1476393219.3264756</v>
      </c>
      <c r="AF189" s="254"/>
      <c r="AG189" s="254"/>
      <c r="AH189" s="254"/>
      <c r="AI189" s="254"/>
      <c r="AJ189" s="262"/>
      <c r="AK189" s="262"/>
      <c r="AL189" s="262"/>
      <c r="AM189" s="262"/>
      <c r="AN189" s="262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62"/>
      <c r="BH189" s="262"/>
      <c r="BI189" s="262"/>
      <c r="BJ189" s="262"/>
      <c r="BK189" s="262"/>
      <c r="BL189" s="262"/>
      <c r="BM189" s="262"/>
      <c r="BN189" s="262"/>
      <c r="BO189" s="208"/>
      <c r="BP189" s="208"/>
      <c r="BQ189" s="208"/>
      <c r="BR189" s="208"/>
      <c r="BS189" s="208"/>
      <c r="BT189" s="208"/>
      <c r="BU189" s="208"/>
      <c r="BV189" s="208"/>
      <c r="BW189" s="208"/>
      <c r="BX189" s="208"/>
      <c r="BY189" s="208"/>
      <c r="BZ189" s="208"/>
      <c r="CA189" s="208"/>
      <c r="CB189" s="208"/>
      <c r="CC189" s="208"/>
      <c r="CD189" s="208"/>
      <c r="CE189" s="208"/>
      <c r="CF189" s="208"/>
      <c r="CG189" s="208"/>
      <c r="CH189" s="208"/>
      <c r="CI189" s="208"/>
      <c r="CJ189" s="208"/>
      <c r="CK189" s="208"/>
      <c r="CL189" s="208"/>
      <c r="CM189" s="208"/>
      <c r="CN189" s="208"/>
      <c r="CO189" s="208"/>
      <c r="CP189" s="208"/>
      <c r="CQ189" s="208"/>
      <c r="CR189" s="208"/>
      <c r="CS189" s="208"/>
    </row>
    <row r="190" spans="2:97" x14ac:dyDescent="0.25">
      <c r="AJ190" s="208"/>
      <c r="AK190" s="208"/>
      <c r="AL190" s="208"/>
      <c r="AM190" s="208"/>
      <c r="AN190" s="208"/>
      <c r="AO190" s="208"/>
      <c r="AP190" s="208"/>
      <c r="AQ190" s="208"/>
      <c r="AR190" s="208"/>
      <c r="AS190" s="208"/>
      <c r="AT190" s="208"/>
      <c r="AU190" s="208"/>
      <c r="AV190" s="208"/>
      <c r="AW190" s="208"/>
      <c r="AX190" s="208"/>
      <c r="AY190" s="208"/>
      <c r="AZ190" s="208"/>
      <c r="BA190" s="208"/>
      <c r="BB190" s="208"/>
      <c r="BC190" s="208"/>
      <c r="BD190" s="208"/>
      <c r="BE190" s="208"/>
      <c r="BF190" s="208"/>
      <c r="BG190" s="208"/>
      <c r="BH190" s="208"/>
      <c r="BI190" s="208"/>
      <c r="BJ190" s="208"/>
      <c r="BK190" s="208"/>
      <c r="BL190" s="208"/>
      <c r="BM190" s="208"/>
      <c r="BN190" s="208"/>
      <c r="BO190" s="208"/>
      <c r="BP190" s="208"/>
      <c r="BQ190" s="208"/>
      <c r="BR190" s="208"/>
      <c r="BS190" s="208"/>
      <c r="BT190" s="208"/>
      <c r="BU190" s="208"/>
      <c r="BV190" s="208"/>
      <c r="BW190" s="208"/>
      <c r="BX190" s="208"/>
      <c r="BY190" s="208"/>
      <c r="BZ190" s="208"/>
      <c r="CA190" s="208"/>
      <c r="CB190" s="208"/>
      <c r="CC190" s="208"/>
      <c r="CD190" s="208"/>
      <c r="CE190" s="208"/>
      <c r="CF190" s="208"/>
      <c r="CG190" s="208"/>
      <c r="CH190" s="208"/>
      <c r="CI190" s="208"/>
      <c r="CJ190" s="208"/>
      <c r="CK190" s="208"/>
      <c r="CL190" s="208"/>
      <c r="CM190" s="208"/>
      <c r="CN190" s="208"/>
      <c r="CO190" s="208"/>
      <c r="CP190" s="208"/>
      <c r="CQ190" s="208"/>
      <c r="CR190" s="208"/>
      <c r="CS190" s="208"/>
    </row>
    <row r="191" spans="2:97" x14ac:dyDescent="0.25">
      <c r="AJ191" s="208"/>
      <c r="AK191" s="208"/>
      <c r="AL191" s="208"/>
      <c r="AM191" s="208"/>
      <c r="AN191" s="208"/>
      <c r="AO191" s="208"/>
      <c r="AP191" s="208"/>
      <c r="AQ191" s="208"/>
      <c r="AR191" s="208"/>
      <c r="AS191" s="208"/>
      <c r="AT191" s="208"/>
      <c r="AU191" s="208"/>
      <c r="AV191" s="208"/>
      <c r="AW191" s="208"/>
      <c r="AX191" s="208"/>
      <c r="AY191" s="208"/>
      <c r="AZ191" s="208"/>
      <c r="BA191" s="208"/>
      <c r="BB191" s="208"/>
      <c r="BC191" s="208"/>
      <c r="BD191" s="208"/>
      <c r="BE191" s="208"/>
      <c r="BF191" s="208"/>
      <c r="BG191" s="208"/>
      <c r="BH191" s="208"/>
      <c r="BI191" s="208"/>
      <c r="BJ191" s="208"/>
      <c r="BK191" s="208"/>
      <c r="BL191" s="208"/>
      <c r="BM191" s="208"/>
      <c r="BN191" s="208"/>
      <c r="BO191" s="208"/>
      <c r="BP191" s="208"/>
      <c r="BQ191" s="208"/>
      <c r="BR191" s="208"/>
      <c r="BS191" s="208"/>
      <c r="BT191" s="208"/>
      <c r="BU191" s="208"/>
      <c r="BV191" s="208"/>
      <c r="BW191" s="208"/>
      <c r="BX191" s="208"/>
      <c r="BY191" s="208"/>
      <c r="BZ191" s="208"/>
      <c r="CA191" s="208"/>
      <c r="CB191" s="208"/>
      <c r="CC191" s="208"/>
      <c r="CD191" s="208"/>
      <c r="CE191" s="208"/>
      <c r="CF191" s="208"/>
      <c r="CG191" s="208"/>
      <c r="CH191" s="208"/>
      <c r="CI191" s="208"/>
      <c r="CJ191" s="208"/>
      <c r="CK191" s="208"/>
      <c r="CL191" s="208"/>
      <c r="CM191" s="208"/>
      <c r="CN191" s="208"/>
      <c r="CO191" s="208"/>
      <c r="CP191" s="208"/>
      <c r="CQ191" s="208"/>
      <c r="CR191" s="208"/>
      <c r="CS191" s="208"/>
    </row>
    <row r="192" spans="2:97" x14ac:dyDescent="0.25">
      <c r="AJ192" s="208"/>
      <c r="AK192" s="208"/>
      <c r="AL192" s="208"/>
      <c r="AM192" s="208"/>
      <c r="AN192" s="208"/>
      <c r="AO192" s="208"/>
      <c r="AP192" s="208"/>
      <c r="AQ192" s="208"/>
      <c r="AR192" s="208"/>
      <c r="AS192" s="208"/>
      <c r="AT192" s="208"/>
      <c r="AU192" s="208"/>
      <c r="AV192" s="208"/>
      <c r="AW192" s="208"/>
      <c r="AX192" s="208"/>
      <c r="AY192" s="208"/>
      <c r="AZ192" s="208"/>
      <c r="BA192" s="208"/>
      <c r="BB192" s="208"/>
      <c r="BC192" s="208"/>
      <c r="BD192" s="208"/>
      <c r="BE192" s="208"/>
      <c r="BF192" s="208"/>
      <c r="BG192" s="208"/>
      <c r="BH192" s="208"/>
      <c r="BI192" s="208"/>
      <c r="BJ192" s="208"/>
      <c r="BK192" s="208"/>
      <c r="BL192" s="208"/>
      <c r="BM192" s="208"/>
      <c r="BN192" s="208"/>
      <c r="BO192" s="208"/>
      <c r="BP192" s="208"/>
      <c r="BQ192" s="208"/>
      <c r="BR192" s="208"/>
      <c r="BS192" s="208"/>
      <c r="BT192" s="208"/>
      <c r="BU192" s="208"/>
      <c r="BV192" s="208"/>
      <c r="BW192" s="208"/>
      <c r="BX192" s="208"/>
      <c r="BY192" s="208"/>
      <c r="BZ192" s="208"/>
      <c r="CA192" s="208"/>
      <c r="CB192" s="208"/>
      <c r="CC192" s="208"/>
      <c r="CD192" s="208"/>
      <c r="CE192" s="208"/>
      <c r="CF192" s="208"/>
      <c r="CG192" s="208"/>
      <c r="CH192" s="208"/>
      <c r="CI192" s="208"/>
      <c r="CJ192" s="208"/>
      <c r="CK192" s="208"/>
      <c r="CL192" s="208"/>
      <c r="CM192" s="208"/>
      <c r="CN192" s="208"/>
      <c r="CO192" s="208"/>
      <c r="CP192" s="208"/>
      <c r="CQ192" s="208"/>
      <c r="CR192" s="208"/>
      <c r="CS192" s="208"/>
    </row>
    <row r="193" spans="36:97" x14ac:dyDescent="0.25">
      <c r="AJ193" s="208"/>
      <c r="AK193" s="208"/>
      <c r="AL193" s="208"/>
      <c r="AM193" s="208"/>
      <c r="AN193" s="208"/>
      <c r="AO193" s="208"/>
      <c r="AP193" s="208"/>
      <c r="AQ193" s="208"/>
      <c r="AR193" s="208"/>
      <c r="AS193" s="208"/>
      <c r="AT193" s="208"/>
      <c r="AU193" s="208"/>
      <c r="AV193" s="208"/>
      <c r="AW193" s="208"/>
      <c r="AX193" s="208"/>
      <c r="AY193" s="208"/>
      <c r="AZ193" s="208"/>
      <c r="BA193" s="208"/>
      <c r="BB193" s="208"/>
      <c r="BC193" s="208"/>
      <c r="BD193" s="208"/>
      <c r="BE193" s="208"/>
      <c r="BF193" s="208"/>
      <c r="BG193" s="208"/>
      <c r="BH193" s="208"/>
      <c r="BI193" s="208"/>
      <c r="BJ193" s="208"/>
      <c r="BK193" s="208"/>
      <c r="BL193" s="208"/>
      <c r="BM193" s="208"/>
      <c r="BN193" s="208"/>
      <c r="BO193" s="208"/>
      <c r="BP193" s="208"/>
      <c r="BQ193" s="208"/>
      <c r="BR193" s="208"/>
      <c r="BS193" s="208"/>
      <c r="BT193" s="208"/>
      <c r="BU193" s="208"/>
      <c r="BV193" s="208"/>
      <c r="BW193" s="208"/>
      <c r="BX193" s="208"/>
      <c r="BY193" s="208"/>
      <c r="BZ193" s="208"/>
      <c r="CA193" s="208"/>
      <c r="CB193" s="208"/>
      <c r="CC193" s="208"/>
      <c r="CD193" s="208"/>
      <c r="CE193" s="208"/>
      <c r="CF193" s="208"/>
      <c r="CG193" s="208"/>
      <c r="CH193" s="208"/>
      <c r="CI193" s="208"/>
      <c r="CJ193" s="208"/>
      <c r="CK193" s="208"/>
      <c r="CL193" s="208"/>
      <c r="CM193" s="208"/>
      <c r="CN193" s="208"/>
      <c r="CO193" s="208"/>
      <c r="CP193" s="208"/>
      <c r="CQ193" s="208"/>
      <c r="CR193" s="208"/>
      <c r="CS193" s="208"/>
    </row>
    <row r="194" spans="36:97" x14ac:dyDescent="0.25">
      <c r="AJ194" s="208"/>
      <c r="AK194" s="208"/>
      <c r="AL194" s="208"/>
      <c r="AM194" s="208"/>
      <c r="AN194" s="208"/>
      <c r="AO194" s="208"/>
      <c r="AP194" s="208"/>
      <c r="AQ194" s="208"/>
      <c r="AR194" s="208"/>
      <c r="AS194" s="208"/>
      <c r="AT194" s="208"/>
      <c r="AU194" s="208"/>
      <c r="AV194" s="208"/>
      <c r="AW194" s="208"/>
      <c r="AX194" s="208"/>
      <c r="AY194" s="208"/>
      <c r="AZ194" s="208"/>
      <c r="BA194" s="208"/>
      <c r="BB194" s="208"/>
      <c r="BC194" s="208"/>
      <c r="BD194" s="208"/>
      <c r="BE194" s="208"/>
      <c r="BF194" s="208"/>
      <c r="BG194" s="208"/>
      <c r="BH194" s="208"/>
      <c r="BI194" s="208"/>
      <c r="BJ194" s="208"/>
      <c r="BK194" s="208"/>
      <c r="BL194" s="208"/>
      <c r="BM194" s="208"/>
      <c r="BN194" s="208"/>
      <c r="BO194" s="208"/>
      <c r="BP194" s="208"/>
      <c r="BQ194" s="208"/>
      <c r="BR194" s="208"/>
      <c r="BS194" s="208"/>
      <c r="BT194" s="208"/>
      <c r="BU194" s="208"/>
      <c r="BV194" s="208"/>
      <c r="BW194" s="208"/>
      <c r="BX194" s="208"/>
      <c r="BY194" s="208"/>
      <c r="BZ194" s="208"/>
      <c r="CA194" s="208"/>
      <c r="CB194" s="208"/>
      <c r="CC194" s="208"/>
      <c r="CD194" s="208"/>
      <c r="CE194" s="208"/>
      <c r="CF194" s="208"/>
      <c r="CG194" s="208"/>
      <c r="CH194" s="208"/>
      <c r="CI194" s="208"/>
      <c r="CJ194" s="208"/>
      <c r="CK194" s="208"/>
      <c r="CL194" s="208"/>
      <c r="CM194" s="208"/>
      <c r="CN194" s="208"/>
      <c r="CO194" s="208"/>
      <c r="CP194" s="208"/>
      <c r="CQ194" s="208"/>
      <c r="CR194" s="208"/>
      <c r="CS194" s="208"/>
    </row>
    <row r="195" spans="36:97" x14ac:dyDescent="0.25">
      <c r="AJ195" s="208"/>
      <c r="AK195" s="208"/>
      <c r="AL195" s="208"/>
      <c r="AM195" s="208"/>
      <c r="AN195" s="208"/>
      <c r="AO195" s="208"/>
      <c r="AP195" s="208"/>
      <c r="AQ195" s="208"/>
      <c r="AR195" s="208"/>
      <c r="AS195" s="208"/>
      <c r="AT195" s="208"/>
      <c r="AU195" s="208"/>
      <c r="AV195" s="208"/>
      <c r="AW195" s="208"/>
      <c r="AX195" s="208"/>
      <c r="AY195" s="208"/>
      <c r="AZ195" s="208"/>
      <c r="BA195" s="208"/>
      <c r="BB195" s="208"/>
      <c r="BC195" s="208"/>
      <c r="BD195" s="208"/>
      <c r="BE195" s="208"/>
      <c r="BF195" s="208"/>
      <c r="BG195" s="208"/>
      <c r="BH195" s="208"/>
      <c r="BI195" s="208"/>
      <c r="BJ195" s="208"/>
      <c r="BK195" s="208"/>
      <c r="BL195" s="208"/>
      <c r="BM195" s="208"/>
      <c r="BN195" s="208"/>
      <c r="BO195" s="208"/>
      <c r="BP195" s="208"/>
      <c r="BQ195" s="208"/>
      <c r="BR195" s="208"/>
      <c r="BS195" s="208"/>
      <c r="BT195" s="208"/>
      <c r="BU195" s="208"/>
      <c r="BV195" s="208"/>
      <c r="BW195" s="208"/>
      <c r="BX195" s="208"/>
      <c r="BY195" s="208"/>
      <c r="BZ195" s="208"/>
      <c r="CA195" s="208"/>
      <c r="CB195" s="208"/>
      <c r="CC195" s="208"/>
      <c r="CD195" s="208"/>
      <c r="CE195" s="208"/>
      <c r="CF195" s="208"/>
      <c r="CG195" s="208"/>
      <c r="CH195" s="208"/>
      <c r="CI195" s="208"/>
      <c r="CJ195" s="208"/>
      <c r="CK195" s="208"/>
      <c r="CL195" s="208"/>
      <c r="CM195" s="208"/>
      <c r="CN195" s="208"/>
      <c r="CO195" s="208"/>
      <c r="CP195" s="208"/>
      <c r="CQ195" s="208"/>
      <c r="CR195" s="208"/>
      <c r="CS195" s="208"/>
    </row>
    <row r="196" spans="36:97" x14ac:dyDescent="0.25">
      <c r="AJ196" s="208"/>
      <c r="AK196" s="208"/>
      <c r="AL196" s="208"/>
      <c r="AM196" s="208"/>
      <c r="AN196" s="208"/>
      <c r="AO196" s="208"/>
      <c r="AP196" s="208"/>
      <c r="AQ196" s="208"/>
      <c r="AR196" s="208"/>
      <c r="AS196" s="208"/>
      <c r="AT196" s="208"/>
      <c r="AU196" s="208"/>
      <c r="AV196" s="208"/>
      <c r="AW196" s="208"/>
      <c r="AX196" s="208"/>
      <c r="AY196" s="208"/>
      <c r="AZ196" s="208"/>
      <c r="BA196" s="208"/>
      <c r="BB196" s="208"/>
      <c r="BC196" s="208"/>
      <c r="BD196" s="208"/>
      <c r="BE196" s="208"/>
      <c r="BF196" s="208"/>
      <c r="BG196" s="208"/>
      <c r="BH196" s="208"/>
      <c r="BI196" s="208"/>
      <c r="BJ196" s="208"/>
      <c r="BK196" s="208"/>
      <c r="BL196" s="208"/>
      <c r="BM196" s="208"/>
      <c r="BN196" s="208"/>
      <c r="BO196" s="208"/>
      <c r="BP196" s="208"/>
      <c r="BQ196" s="208"/>
      <c r="BR196" s="208"/>
      <c r="BS196" s="208"/>
      <c r="BT196" s="208"/>
      <c r="BU196" s="208"/>
      <c r="BV196" s="208"/>
      <c r="BW196" s="208"/>
      <c r="BX196" s="208"/>
      <c r="BY196" s="208"/>
      <c r="BZ196" s="208"/>
      <c r="CA196" s="208"/>
      <c r="CB196" s="208"/>
      <c r="CC196" s="208"/>
      <c r="CD196" s="208"/>
      <c r="CE196" s="208"/>
      <c r="CF196" s="208"/>
      <c r="CG196" s="208"/>
      <c r="CH196" s="208"/>
      <c r="CI196" s="208"/>
      <c r="CJ196" s="208"/>
      <c r="CK196" s="208"/>
      <c r="CL196" s="208"/>
      <c r="CM196" s="208"/>
      <c r="CN196" s="208"/>
      <c r="CO196" s="208"/>
      <c r="CP196" s="208"/>
      <c r="CQ196" s="208"/>
      <c r="CR196" s="208"/>
      <c r="CS196" s="208"/>
    </row>
    <row r="197" spans="36:97" x14ac:dyDescent="0.25">
      <c r="AJ197" s="208"/>
      <c r="AK197" s="208"/>
      <c r="AL197" s="208"/>
      <c r="AM197" s="208"/>
      <c r="AN197" s="208"/>
      <c r="AO197" s="208"/>
      <c r="AP197" s="208"/>
      <c r="AQ197" s="208"/>
      <c r="AR197" s="208"/>
      <c r="AS197" s="208"/>
      <c r="AT197" s="208"/>
      <c r="AU197" s="208"/>
      <c r="AV197" s="208"/>
      <c r="AW197" s="208"/>
      <c r="AX197" s="208"/>
      <c r="AY197" s="208"/>
      <c r="AZ197" s="208"/>
      <c r="BA197" s="208"/>
      <c r="BB197" s="208"/>
      <c r="BC197" s="208"/>
      <c r="BD197" s="208"/>
      <c r="BE197" s="208"/>
      <c r="BF197" s="208"/>
      <c r="BG197" s="208"/>
      <c r="BH197" s="208"/>
      <c r="BI197" s="208"/>
      <c r="BJ197" s="208"/>
      <c r="BK197" s="208"/>
      <c r="BL197" s="208"/>
      <c r="BM197" s="208"/>
      <c r="BN197" s="208"/>
      <c r="BO197" s="208"/>
      <c r="BP197" s="208"/>
      <c r="BQ197" s="208"/>
      <c r="BR197" s="208"/>
      <c r="BS197" s="208"/>
      <c r="BT197" s="208"/>
      <c r="BU197" s="208"/>
      <c r="BV197" s="208"/>
      <c r="BW197" s="208"/>
      <c r="BX197" s="208"/>
      <c r="BY197" s="208"/>
      <c r="BZ197" s="208"/>
      <c r="CA197" s="208"/>
      <c r="CB197" s="208"/>
      <c r="CC197" s="208"/>
      <c r="CD197" s="208"/>
      <c r="CE197" s="208"/>
      <c r="CF197" s="208"/>
      <c r="CG197" s="208"/>
      <c r="CH197" s="208"/>
      <c r="CI197" s="208"/>
      <c r="CJ197" s="208"/>
      <c r="CK197" s="208"/>
      <c r="CL197" s="208"/>
      <c r="CM197" s="208"/>
      <c r="CN197" s="208"/>
      <c r="CO197" s="208"/>
      <c r="CP197" s="208"/>
      <c r="CQ197" s="208"/>
      <c r="CR197" s="208"/>
      <c r="CS197" s="208"/>
    </row>
    <row r="198" spans="36:97" x14ac:dyDescent="0.25">
      <c r="AJ198" s="208"/>
      <c r="AK198" s="208"/>
      <c r="AL198" s="208"/>
      <c r="AM198" s="208"/>
      <c r="AN198" s="208"/>
      <c r="AO198" s="208"/>
      <c r="AP198" s="208"/>
      <c r="AQ198" s="208"/>
      <c r="AR198" s="208"/>
      <c r="AS198" s="208"/>
      <c r="AT198" s="208"/>
      <c r="AU198" s="208"/>
      <c r="AV198" s="208"/>
      <c r="AW198" s="208"/>
      <c r="AX198" s="208"/>
      <c r="AY198" s="208"/>
      <c r="AZ198" s="208"/>
      <c r="BA198" s="208"/>
      <c r="BB198" s="208"/>
      <c r="BC198" s="208"/>
      <c r="BD198" s="208"/>
      <c r="BE198" s="208"/>
      <c r="BF198" s="208"/>
      <c r="BG198" s="208"/>
      <c r="BH198" s="208"/>
      <c r="BI198" s="208"/>
      <c r="BJ198" s="208"/>
      <c r="BK198" s="208"/>
      <c r="BL198" s="208"/>
      <c r="BM198" s="208"/>
      <c r="BN198" s="208"/>
      <c r="BO198" s="208"/>
      <c r="BP198" s="208"/>
      <c r="BQ198" s="208"/>
      <c r="BR198" s="208"/>
      <c r="BS198" s="208"/>
      <c r="BT198" s="208"/>
      <c r="BU198" s="208"/>
      <c r="BV198" s="208"/>
      <c r="BW198" s="208"/>
      <c r="BX198" s="208"/>
      <c r="BY198" s="208"/>
      <c r="BZ198" s="208"/>
      <c r="CA198" s="208"/>
      <c r="CB198" s="208"/>
      <c r="CC198" s="208"/>
      <c r="CD198" s="208"/>
      <c r="CE198" s="208"/>
      <c r="CF198" s="208"/>
      <c r="CG198" s="208"/>
      <c r="CH198" s="208"/>
      <c r="CI198" s="208"/>
      <c r="CJ198" s="208"/>
      <c r="CK198" s="208"/>
      <c r="CL198" s="208"/>
      <c r="CM198" s="208"/>
      <c r="CN198" s="208"/>
      <c r="CO198" s="208"/>
      <c r="CP198" s="208"/>
      <c r="CQ198" s="208"/>
      <c r="CR198" s="208"/>
      <c r="CS198" s="208"/>
    </row>
    <row r="199" spans="36:97" x14ac:dyDescent="0.25">
      <c r="AJ199" s="208"/>
      <c r="AK199" s="208"/>
      <c r="AL199" s="208"/>
      <c r="AM199" s="208"/>
      <c r="AN199" s="208"/>
      <c r="AO199" s="208"/>
      <c r="AP199" s="208"/>
      <c r="AQ199" s="208"/>
      <c r="AR199" s="208"/>
      <c r="AS199" s="208"/>
      <c r="AT199" s="208"/>
      <c r="AU199" s="208"/>
      <c r="AV199" s="208"/>
      <c r="AW199" s="208"/>
      <c r="AX199" s="208"/>
      <c r="AY199" s="208"/>
      <c r="AZ199" s="208"/>
      <c r="BA199" s="208"/>
      <c r="BB199" s="208"/>
      <c r="BC199" s="208"/>
      <c r="BD199" s="208"/>
      <c r="BE199" s="208"/>
      <c r="BF199" s="208"/>
      <c r="BG199" s="208"/>
      <c r="BH199" s="208"/>
      <c r="BI199" s="208"/>
      <c r="BJ199" s="208"/>
      <c r="BK199" s="208"/>
      <c r="BL199" s="208"/>
      <c r="BM199" s="208"/>
      <c r="BN199" s="208"/>
      <c r="BO199" s="208"/>
      <c r="BP199" s="208"/>
      <c r="BQ199" s="208"/>
      <c r="BR199" s="208"/>
      <c r="BS199" s="208"/>
      <c r="BT199" s="208"/>
      <c r="BU199" s="208"/>
      <c r="BV199" s="208"/>
      <c r="BW199" s="208"/>
      <c r="BX199" s="208"/>
      <c r="BY199" s="208"/>
      <c r="BZ199" s="208"/>
      <c r="CA199" s="208"/>
      <c r="CB199" s="208"/>
      <c r="CC199" s="208"/>
      <c r="CD199" s="208"/>
      <c r="CE199" s="208"/>
      <c r="CF199" s="208"/>
      <c r="CG199" s="208"/>
      <c r="CH199" s="208"/>
      <c r="CI199" s="208"/>
      <c r="CJ199" s="208"/>
      <c r="CK199" s="208"/>
      <c r="CL199" s="208"/>
      <c r="CM199" s="208"/>
      <c r="CN199" s="208"/>
      <c r="CO199" s="208"/>
      <c r="CP199" s="208"/>
      <c r="CQ199" s="208"/>
      <c r="CR199" s="208"/>
      <c r="CS199" s="208"/>
    </row>
    <row r="200" spans="36:97" x14ac:dyDescent="0.25">
      <c r="AJ200" s="208"/>
      <c r="AK200" s="208"/>
      <c r="AL200" s="208"/>
      <c r="AM200" s="208"/>
      <c r="AN200" s="208"/>
      <c r="AO200" s="208"/>
      <c r="AP200" s="208"/>
      <c r="AQ200" s="208"/>
      <c r="AR200" s="208"/>
      <c r="AS200" s="208"/>
      <c r="AT200" s="208"/>
      <c r="AU200" s="208"/>
      <c r="AV200" s="208"/>
      <c r="AW200" s="208"/>
      <c r="AX200" s="208"/>
      <c r="AY200" s="208"/>
      <c r="AZ200" s="208"/>
      <c r="BA200" s="208"/>
      <c r="BB200" s="208"/>
      <c r="BC200" s="208"/>
      <c r="BD200" s="208"/>
      <c r="BE200" s="208"/>
      <c r="BF200" s="208"/>
      <c r="BG200" s="208"/>
      <c r="BH200" s="208"/>
      <c r="BI200" s="208"/>
      <c r="BJ200" s="208"/>
      <c r="BK200" s="208"/>
      <c r="BL200" s="208"/>
      <c r="BM200" s="208"/>
      <c r="BN200" s="208"/>
      <c r="BO200" s="208"/>
      <c r="BP200" s="208"/>
      <c r="BQ200" s="208"/>
      <c r="BR200" s="208"/>
      <c r="BS200" s="208"/>
      <c r="BT200" s="208"/>
      <c r="BU200" s="208"/>
      <c r="BV200" s="208"/>
      <c r="BW200" s="208"/>
      <c r="BX200" s="208"/>
      <c r="BY200" s="208"/>
      <c r="BZ200" s="208"/>
      <c r="CA200" s="208"/>
      <c r="CB200" s="208"/>
      <c r="CC200" s="208"/>
      <c r="CD200" s="208"/>
      <c r="CE200" s="208"/>
      <c r="CF200" s="208"/>
      <c r="CG200" s="208"/>
      <c r="CH200" s="208"/>
      <c r="CI200" s="208"/>
      <c r="CJ200" s="208"/>
      <c r="CK200" s="208"/>
      <c r="CL200" s="208"/>
      <c r="CM200" s="208"/>
      <c r="CN200" s="208"/>
      <c r="CO200" s="208"/>
      <c r="CP200" s="208"/>
      <c r="CQ200" s="208"/>
      <c r="CR200" s="208"/>
      <c r="CS200" s="208"/>
    </row>
    <row r="201" spans="36:97" x14ac:dyDescent="0.25">
      <c r="AJ201" s="208"/>
      <c r="AK201" s="208"/>
      <c r="AL201" s="208"/>
      <c r="AM201" s="208"/>
      <c r="AN201" s="208"/>
      <c r="AO201" s="208"/>
      <c r="AP201" s="208"/>
      <c r="AQ201" s="208"/>
      <c r="AR201" s="208"/>
      <c r="AS201" s="208"/>
      <c r="AT201" s="208"/>
      <c r="AU201" s="208"/>
      <c r="AV201" s="208"/>
      <c r="AW201" s="208"/>
      <c r="AX201" s="208"/>
      <c r="AY201" s="208"/>
      <c r="AZ201" s="208"/>
      <c r="BA201" s="208"/>
      <c r="BB201" s="208"/>
      <c r="BC201" s="208"/>
      <c r="BD201" s="208"/>
      <c r="BE201" s="208"/>
      <c r="BF201" s="208"/>
      <c r="BG201" s="208"/>
      <c r="BH201" s="208"/>
      <c r="BI201" s="208"/>
      <c r="BJ201" s="208"/>
      <c r="BK201" s="208"/>
      <c r="BL201" s="208"/>
      <c r="BM201" s="208"/>
      <c r="BN201" s="208"/>
      <c r="BO201" s="208"/>
      <c r="BP201" s="208"/>
      <c r="BQ201" s="208"/>
      <c r="BR201" s="208"/>
      <c r="BS201" s="208"/>
      <c r="BT201" s="208"/>
      <c r="BU201" s="208"/>
      <c r="BV201" s="208"/>
      <c r="BW201" s="208"/>
      <c r="BX201" s="208"/>
      <c r="BY201" s="208"/>
      <c r="BZ201" s="208"/>
      <c r="CA201" s="208"/>
      <c r="CB201" s="208"/>
      <c r="CC201" s="208"/>
      <c r="CD201" s="208"/>
      <c r="CE201" s="208"/>
      <c r="CF201" s="208"/>
      <c r="CG201" s="208"/>
      <c r="CH201" s="208"/>
      <c r="CI201" s="208"/>
      <c r="CJ201" s="208"/>
      <c r="CK201" s="208"/>
      <c r="CL201" s="208"/>
      <c r="CM201" s="208"/>
      <c r="CN201" s="208"/>
      <c r="CO201" s="208"/>
      <c r="CP201" s="208"/>
      <c r="CQ201" s="208"/>
      <c r="CR201" s="208"/>
      <c r="CS201" s="208"/>
    </row>
    <row r="202" spans="36:97" x14ac:dyDescent="0.25">
      <c r="AJ202" s="208"/>
      <c r="AK202" s="208"/>
      <c r="AL202" s="208"/>
      <c r="AM202" s="208"/>
      <c r="AN202" s="208"/>
      <c r="AO202" s="208"/>
      <c r="AP202" s="208"/>
      <c r="AQ202" s="208"/>
      <c r="AR202" s="208"/>
      <c r="AS202" s="208"/>
      <c r="AT202" s="208"/>
      <c r="AU202" s="208"/>
      <c r="AV202" s="208"/>
      <c r="AW202" s="208"/>
      <c r="AX202" s="208"/>
      <c r="AY202" s="208"/>
      <c r="AZ202" s="208"/>
      <c r="BA202" s="208"/>
      <c r="BB202" s="208"/>
      <c r="BC202" s="208"/>
      <c r="BD202" s="208"/>
      <c r="BE202" s="208"/>
      <c r="BF202" s="208"/>
      <c r="BG202" s="208"/>
      <c r="BH202" s="208"/>
      <c r="BI202" s="208"/>
      <c r="BJ202" s="208"/>
      <c r="BK202" s="208"/>
      <c r="BL202" s="208"/>
      <c r="BM202" s="208"/>
      <c r="BN202" s="208"/>
      <c r="BO202" s="208"/>
      <c r="BP202" s="208"/>
      <c r="BQ202" s="208"/>
      <c r="BR202" s="208"/>
      <c r="BS202" s="208"/>
      <c r="BT202" s="208"/>
      <c r="BU202" s="208"/>
      <c r="BV202" s="208"/>
      <c r="BW202" s="208"/>
      <c r="BX202" s="208"/>
      <c r="BY202" s="208"/>
      <c r="BZ202" s="208"/>
      <c r="CA202" s="208"/>
      <c r="CB202" s="208"/>
      <c r="CC202" s="208"/>
      <c r="CD202" s="208"/>
      <c r="CE202" s="208"/>
      <c r="CF202" s="208"/>
      <c r="CG202" s="208"/>
      <c r="CH202" s="208"/>
      <c r="CI202" s="208"/>
      <c r="CJ202" s="208"/>
      <c r="CK202" s="208"/>
      <c r="CL202" s="208"/>
      <c r="CM202" s="208"/>
      <c r="CN202" s="208"/>
      <c r="CO202" s="208"/>
      <c r="CP202" s="208"/>
      <c r="CQ202" s="208"/>
      <c r="CR202" s="208"/>
      <c r="CS202" s="208"/>
    </row>
    <row r="203" spans="36:97" x14ac:dyDescent="0.25">
      <c r="AJ203" s="208"/>
      <c r="AK203" s="208"/>
      <c r="AL203" s="208"/>
      <c r="AM203" s="208"/>
      <c r="AN203" s="208"/>
      <c r="AO203" s="208"/>
      <c r="AP203" s="208"/>
      <c r="AQ203" s="208"/>
      <c r="AR203" s="208"/>
      <c r="AS203" s="208"/>
      <c r="AT203" s="208"/>
      <c r="AU203" s="208"/>
      <c r="AV203" s="208"/>
      <c r="AW203" s="208"/>
      <c r="AX203" s="208"/>
      <c r="AY203" s="208"/>
      <c r="AZ203" s="208"/>
      <c r="BA203" s="208"/>
      <c r="BB203" s="208"/>
      <c r="BC203" s="208"/>
      <c r="BD203" s="208"/>
      <c r="BE203" s="208"/>
      <c r="BF203" s="208"/>
      <c r="BG203" s="208"/>
      <c r="BH203" s="208"/>
      <c r="BI203" s="208"/>
      <c r="BJ203" s="208"/>
      <c r="BK203" s="208"/>
      <c r="BL203" s="208"/>
      <c r="BM203" s="208"/>
      <c r="BN203" s="208"/>
      <c r="BO203" s="208"/>
      <c r="BP203" s="208"/>
      <c r="BQ203" s="208"/>
      <c r="BR203" s="208"/>
      <c r="BS203" s="208"/>
      <c r="BT203" s="208"/>
      <c r="BU203" s="208"/>
      <c r="BV203" s="208"/>
      <c r="BW203" s="208"/>
      <c r="BX203" s="208"/>
      <c r="BY203" s="208"/>
      <c r="BZ203" s="208"/>
      <c r="CA203" s="208"/>
      <c r="CB203" s="208"/>
      <c r="CC203" s="208"/>
      <c r="CD203" s="208"/>
      <c r="CE203" s="208"/>
      <c r="CF203" s="208"/>
      <c r="CG203" s="208"/>
      <c r="CH203" s="208"/>
      <c r="CI203" s="208"/>
      <c r="CJ203" s="208"/>
      <c r="CK203" s="208"/>
      <c r="CL203" s="208"/>
      <c r="CM203" s="208"/>
      <c r="CN203" s="208"/>
      <c r="CO203" s="208"/>
      <c r="CP203" s="208"/>
      <c r="CQ203" s="208"/>
      <c r="CR203" s="208"/>
      <c r="CS203" s="208"/>
    </row>
    <row r="204" spans="36:97" x14ac:dyDescent="0.25">
      <c r="AJ204" s="208"/>
      <c r="AK204" s="208"/>
      <c r="AL204" s="208"/>
      <c r="AM204" s="208"/>
      <c r="AN204" s="208"/>
      <c r="AO204" s="208"/>
      <c r="AP204" s="208"/>
      <c r="AQ204" s="208"/>
      <c r="AR204" s="208"/>
      <c r="AS204" s="208"/>
      <c r="AT204" s="208"/>
      <c r="AU204" s="208"/>
      <c r="AV204" s="208"/>
      <c r="AW204" s="208"/>
      <c r="AX204" s="208"/>
      <c r="AY204" s="208"/>
      <c r="AZ204" s="208"/>
      <c r="BA204" s="208"/>
      <c r="BB204" s="208"/>
      <c r="BC204" s="208"/>
      <c r="BD204" s="208"/>
      <c r="BE204" s="208"/>
      <c r="BF204" s="208"/>
      <c r="BG204" s="208"/>
      <c r="BH204" s="208"/>
      <c r="BI204" s="208"/>
      <c r="BJ204" s="208"/>
      <c r="BK204" s="208"/>
      <c r="BL204" s="208"/>
      <c r="BM204" s="208"/>
      <c r="BN204" s="208"/>
      <c r="BO204" s="208"/>
      <c r="BP204" s="208"/>
      <c r="BQ204" s="208"/>
      <c r="BR204" s="208"/>
      <c r="BS204" s="208"/>
      <c r="BT204" s="208"/>
      <c r="BU204" s="208"/>
      <c r="BV204" s="208"/>
      <c r="BW204" s="208"/>
      <c r="BX204" s="208"/>
      <c r="BY204" s="208"/>
      <c r="BZ204" s="208"/>
      <c r="CA204" s="208"/>
      <c r="CB204" s="208"/>
      <c r="CC204" s="208"/>
      <c r="CD204" s="208"/>
      <c r="CE204" s="208"/>
      <c r="CF204" s="208"/>
      <c r="CG204" s="208"/>
      <c r="CH204" s="208"/>
      <c r="CI204" s="208"/>
      <c r="CJ204" s="208"/>
      <c r="CK204" s="208"/>
      <c r="CL204" s="208"/>
      <c r="CM204" s="208"/>
      <c r="CN204" s="208"/>
      <c r="CO204" s="208"/>
      <c r="CP204" s="208"/>
      <c r="CQ204" s="208"/>
      <c r="CR204" s="208"/>
      <c r="CS204" s="208"/>
    </row>
    <row r="205" spans="36:97" x14ac:dyDescent="0.25">
      <c r="AJ205" s="208"/>
      <c r="AK205" s="208"/>
      <c r="AL205" s="208"/>
      <c r="AM205" s="208"/>
      <c r="AN205" s="208"/>
      <c r="AO205" s="208"/>
      <c r="AP205" s="208"/>
      <c r="AQ205" s="208"/>
      <c r="AR205" s="208"/>
      <c r="AS205" s="208"/>
      <c r="AT205" s="208"/>
      <c r="AU205" s="208"/>
      <c r="AV205" s="208"/>
      <c r="AW205" s="208"/>
      <c r="AX205" s="208"/>
      <c r="AY205" s="208"/>
      <c r="AZ205" s="208"/>
      <c r="BA205" s="208"/>
      <c r="BB205" s="208"/>
      <c r="BC205" s="208"/>
      <c r="BD205" s="208"/>
      <c r="BE205" s="208"/>
      <c r="BF205" s="208"/>
      <c r="BG205" s="208"/>
      <c r="BH205" s="208"/>
      <c r="BI205" s="208"/>
      <c r="BJ205" s="208"/>
      <c r="BK205" s="208"/>
      <c r="BL205" s="208"/>
      <c r="BM205" s="208"/>
      <c r="BN205" s="208"/>
      <c r="BO205" s="208"/>
      <c r="BP205" s="208"/>
      <c r="BQ205" s="208"/>
      <c r="BR205" s="208"/>
      <c r="BS205" s="208"/>
      <c r="BT205" s="208"/>
      <c r="BU205" s="208"/>
      <c r="BV205" s="208"/>
      <c r="BW205" s="208"/>
      <c r="BX205" s="208"/>
      <c r="BY205" s="208"/>
      <c r="BZ205" s="208"/>
      <c r="CA205" s="208"/>
      <c r="CB205" s="208"/>
      <c r="CC205" s="208"/>
      <c r="CD205" s="208"/>
      <c r="CE205" s="208"/>
      <c r="CF205" s="208"/>
      <c r="CG205" s="208"/>
      <c r="CH205" s="208"/>
      <c r="CI205" s="208"/>
      <c r="CJ205" s="208"/>
      <c r="CK205" s="208"/>
      <c r="CL205" s="208"/>
      <c r="CM205" s="208"/>
      <c r="CN205" s="208"/>
      <c r="CO205" s="208"/>
      <c r="CP205" s="208"/>
      <c r="CQ205" s="208"/>
      <c r="CR205" s="208"/>
      <c r="CS205" s="208"/>
    </row>
    <row r="206" spans="36:97" x14ac:dyDescent="0.25"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  <c r="AV206" s="208"/>
      <c r="AW206" s="208"/>
      <c r="AX206" s="208"/>
      <c r="AY206" s="208"/>
      <c r="AZ206" s="208"/>
      <c r="BA206" s="208"/>
      <c r="BB206" s="208"/>
      <c r="BC206" s="208"/>
      <c r="BD206" s="208"/>
      <c r="BE206" s="208"/>
      <c r="BF206" s="208"/>
      <c r="BG206" s="208"/>
      <c r="BH206" s="208"/>
      <c r="BI206" s="208"/>
      <c r="BJ206" s="208"/>
      <c r="BK206" s="208"/>
      <c r="BL206" s="208"/>
      <c r="BM206" s="208"/>
      <c r="BN206" s="208"/>
      <c r="BO206" s="208"/>
      <c r="BP206" s="208"/>
      <c r="BQ206" s="208"/>
      <c r="BR206" s="208"/>
      <c r="BS206" s="208"/>
      <c r="BT206" s="208"/>
      <c r="BU206" s="208"/>
      <c r="BV206" s="208"/>
      <c r="BW206" s="208"/>
      <c r="BX206" s="208"/>
      <c r="BY206" s="208"/>
      <c r="BZ206" s="208"/>
      <c r="CA206" s="208"/>
      <c r="CB206" s="208"/>
      <c r="CC206" s="208"/>
      <c r="CD206" s="208"/>
      <c r="CE206" s="208"/>
      <c r="CF206" s="208"/>
      <c r="CG206" s="208"/>
      <c r="CH206" s="208"/>
      <c r="CI206" s="208"/>
      <c r="CJ206" s="208"/>
      <c r="CK206" s="208"/>
      <c r="CL206" s="208"/>
      <c r="CM206" s="208"/>
      <c r="CN206" s="208"/>
      <c r="CO206" s="208"/>
      <c r="CP206" s="208"/>
      <c r="CQ206" s="208"/>
      <c r="CR206" s="208"/>
      <c r="CS206" s="208"/>
    </row>
    <row r="207" spans="36:97" x14ac:dyDescent="0.25"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208"/>
      <c r="AW207" s="208"/>
      <c r="AX207" s="208"/>
      <c r="AY207" s="208"/>
      <c r="AZ207" s="208"/>
      <c r="BA207" s="208"/>
      <c r="BB207" s="208"/>
      <c r="BC207" s="208"/>
      <c r="BD207" s="208"/>
      <c r="BE207" s="208"/>
      <c r="BF207" s="208"/>
      <c r="BG207" s="208"/>
      <c r="BH207" s="208"/>
      <c r="BI207" s="208"/>
      <c r="BJ207" s="208"/>
      <c r="BK207" s="208"/>
      <c r="BL207" s="208"/>
      <c r="BM207" s="208"/>
      <c r="BN207" s="208"/>
      <c r="BO207" s="208"/>
      <c r="BP207" s="208"/>
      <c r="BQ207" s="208"/>
      <c r="BR207" s="208"/>
      <c r="BS207" s="208"/>
      <c r="BT207" s="208"/>
      <c r="BU207" s="208"/>
      <c r="BV207" s="208"/>
      <c r="BW207" s="208"/>
      <c r="BX207" s="208"/>
      <c r="BY207" s="208"/>
      <c r="BZ207" s="208"/>
      <c r="CA207" s="208"/>
      <c r="CB207" s="208"/>
      <c r="CC207" s="208"/>
      <c r="CD207" s="208"/>
      <c r="CE207" s="208"/>
      <c r="CF207" s="208"/>
      <c r="CG207" s="208"/>
      <c r="CH207" s="208"/>
      <c r="CI207" s="208"/>
      <c r="CJ207" s="208"/>
      <c r="CK207" s="208"/>
      <c r="CL207" s="208"/>
      <c r="CM207" s="208"/>
      <c r="CN207" s="208"/>
      <c r="CO207" s="208"/>
      <c r="CP207" s="208"/>
      <c r="CQ207" s="208"/>
      <c r="CR207" s="208"/>
      <c r="CS207" s="208"/>
    </row>
    <row r="208" spans="36:97" x14ac:dyDescent="0.25"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  <c r="AX208" s="208"/>
      <c r="AY208" s="208"/>
      <c r="AZ208" s="208"/>
      <c r="BA208" s="208"/>
      <c r="BB208" s="208"/>
      <c r="BC208" s="208"/>
      <c r="BD208" s="208"/>
      <c r="BE208" s="208"/>
      <c r="BF208" s="208"/>
      <c r="BG208" s="208"/>
      <c r="BH208" s="208"/>
      <c r="BI208" s="208"/>
      <c r="BJ208" s="208"/>
      <c r="BK208" s="208"/>
      <c r="BL208" s="208"/>
      <c r="BM208" s="208"/>
      <c r="BN208" s="208"/>
      <c r="BO208" s="208"/>
      <c r="BP208" s="208"/>
      <c r="BQ208" s="208"/>
      <c r="BR208" s="208"/>
      <c r="BS208" s="208"/>
      <c r="BT208" s="208"/>
      <c r="BU208" s="208"/>
      <c r="BV208" s="208"/>
      <c r="BW208" s="208"/>
      <c r="BX208" s="208"/>
      <c r="BY208" s="208"/>
      <c r="BZ208" s="208"/>
      <c r="CA208" s="208"/>
      <c r="CB208" s="208"/>
      <c r="CC208" s="208"/>
      <c r="CD208" s="208"/>
      <c r="CE208" s="208"/>
      <c r="CF208" s="208"/>
      <c r="CG208" s="208"/>
      <c r="CH208" s="208"/>
      <c r="CI208" s="208"/>
      <c r="CJ208" s="208"/>
      <c r="CK208" s="208"/>
      <c r="CL208" s="208"/>
      <c r="CM208" s="208"/>
      <c r="CN208" s="208"/>
      <c r="CO208" s="208"/>
      <c r="CP208" s="208"/>
      <c r="CQ208" s="208"/>
      <c r="CR208" s="208"/>
      <c r="CS208" s="208"/>
    </row>
    <row r="209" spans="36:97" x14ac:dyDescent="0.25">
      <c r="AJ209" s="208"/>
      <c r="AK209" s="208"/>
      <c r="AL209" s="208"/>
      <c r="AM209" s="208"/>
      <c r="AN209" s="208"/>
      <c r="AO209" s="208"/>
      <c r="AP209" s="208"/>
      <c r="AQ209" s="208"/>
      <c r="AR209" s="208"/>
      <c r="AS209" s="208"/>
      <c r="AT209" s="208"/>
      <c r="AU209" s="208"/>
      <c r="AV209" s="208"/>
      <c r="AW209" s="208"/>
      <c r="AX209" s="208"/>
      <c r="AY209" s="208"/>
      <c r="AZ209" s="208"/>
      <c r="BA209" s="208"/>
      <c r="BB209" s="208"/>
      <c r="BC209" s="208"/>
      <c r="BD209" s="208"/>
      <c r="BE209" s="208"/>
      <c r="BF209" s="208"/>
      <c r="BG209" s="208"/>
      <c r="BH209" s="208"/>
      <c r="BI209" s="208"/>
      <c r="BJ209" s="208"/>
      <c r="BK209" s="208"/>
      <c r="BL209" s="208"/>
      <c r="BM209" s="208"/>
      <c r="BN209" s="208"/>
      <c r="BO209" s="208"/>
      <c r="BP209" s="208"/>
      <c r="BQ209" s="208"/>
      <c r="BR209" s="208"/>
      <c r="BS209" s="208"/>
      <c r="BT209" s="208"/>
      <c r="BU209" s="208"/>
      <c r="BV209" s="208"/>
      <c r="BW209" s="208"/>
      <c r="BX209" s="208"/>
      <c r="BY209" s="208"/>
      <c r="BZ209" s="208"/>
      <c r="CA209" s="208"/>
      <c r="CB209" s="208"/>
      <c r="CC209" s="208"/>
      <c r="CD209" s="208"/>
      <c r="CE209" s="208"/>
      <c r="CF209" s="208"/>
      <c r="CG209" s="208"/>
      <c r="CH209" s="208"/>
      <c r="CI209" s="208"/>
      <c r="CJ209" s="208"/>
      <c r="CK209" s="208"/>
      <c r="CL209" s="208"/>
      <c r="CM209" s="208"/>
      <c r="CN209" s="208"/>
      <c r="CO209" s="208"/>
      <c r="CP209" s="208"/>
      <c r="CQ209" s="208"/>
      <c r="CR209" s="208"/>
      <c r="CS209" s="208"/>
    </row>
    <row r="210" spans="36:97" x14ac:dyDescent="0.25"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  <c r="AX210" s="208"/>
      <c r="AY210" s="208"/>
      <c r="AZ210" s="208"/>
      <c r="BA210" s="208"/>
      <c r="BB210" s="208"/>
      <c r="BC210" s="208"/>
      <c r="BD210" s="208"/>
      <c r="BE210" s="208"/>
      <c r="BF210" s="208"/>
      <c r="BG210" s="208"/>
      <c r="BH210" s="208"/>
      <c r="BI210" s="208"/>
      <c r="BJ210" s="208"/>
      <c r="BK210" s="208"/>
      <c r="BL210" s="208"/>
      <c r="BM210" s="208"/>
      <c r="BN210" s="208"/>
      <c r="BO210" s="208"/>
      <c r="BP210" s="208"/>
      <c r="BQ210" s="208"/>
      <c r="BR210" s="208"/>
      <c r="BS210" s="208"/>
      <c r="BT210" s="208"/>
      <c r="BU210" s="208"/>
      <c r="BV210" s="208"/>
      <c r="BW210" s="208"/>
      <c r="BX210" s="208"/>
      <c r="BY210" s="208"/>
      <c r="BZ210" s="208"/>
      <c r="CA210" s="208"/>
      <c r="CB210" s="208"/>
      <c r="CC210" s="208"/>
      <c r="CD210" s="208"/>
      <c r="CE210" s="208"/>
      <c r="CF210" s="208"/>
      <c r="CG210" s="208"/>
      <c r="CH210" s="208"/>
      <c r="CI210" s="208"/>
      <c r="CJ210" s="208"/>
      <c r="CK210" s="208"/>
      <c r="CL210" s="208"/>
      <c r="CM210" s="208"/>
      <c r="CN210" s="208"/>
      <c r="CO210" s="208"/>
      <c r="CP210" s="208"/>
      <c r="CQ210" s="208"/>
      <c r="CR210" s="208"/>
      <c r="CS210" s="208"/>
    </row>
    <row r="211" spans="36:97" x14ac:dyDescent="0.25"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  <c r="AX211" s="208"/>
      <c r="AY211" s="208"/>
      <c r="AZ211" s="208"/>
      <c r="BA211" s="208"/>
      <c r="BB211" s="208"/>
      <c r="BC211" s="208"/>
      <c r="BD211" s="208"/>
      <c r="BE211" s="208"/>
      <c r="BF211" s="208"/>
      <c r="BG211" s="208"/>
      <c r="BH211" s="208"/>
      <c r="BI211" s="208"/>
      <c r="BJ211" s="208"/>
      <c r="BK211" s="208"/>
      <c r="BL211" s="208"/>
      <c r="BM211" s="208"/>
      <c r="BN211" s="208"/>
      <c r="BO211" s="208"/>
      <c r="BP211" s="208"/>
      <c r="BQ211" s="208"/>
      <c r="BR211" s="208"/>
      <c r="BS211" s="208"/>
      <c r="BT211" s="208"/>
      <c r="BU211" s="208"/>
      <c r="BV211" s="208"/>
      <c r="BW211" s="208"/>
      <c r="BX211" s="208"/>
      <c r="BY211" s="208"/>
      <c r="BZ211" s="208"/>
      <c r="CA211" s="208"/>
      <c r="CB211" s="208"/>
      <c r="CC211" s="208"/>
      <c r="CD211" s="208"/>
      <c r="CE211" s="208"/>
      <c r="CF211" s="208"/>
      <c r="CG211" s="208"/>
      <c r="CH211" s="208"/>
      <c r="CI211" s="208"/>
      <c r="CJ211" s="208"/>
      <c r="CK211" s="208"/>
      <c r="CL211" s="208"/>
      <c r="CM211" s="208"/>
      <c r="CN211" s="208"/>
      <c r="CO211" s="208"/>
      <c r="CP211" s="208"/>
      <c r="CQ211" s="208"/>
      <c r="CR211" s="208"/>
      <c r="CS211" s="208"/>
    </row>
    <row r="212" spans="36:97" x14ac:dyDescent="0.25">
      <c r="AJ212" s="208"/>
      <c r="AK212" s="208"/>
      <c r="AL212" s="208"/>
      <c r="AM212" s="208"/>
      <c r="AN212" s="208"/>
      <c r="AO212" s="208"/>
      <c r="AP212" s="208"/>
      <c r="AQ212" s="208"/>
      <c r="AR212" s="208"/>
      <c r="AS212" s="208"/>
      <c r="AT212" s="208"/>
      <c r="AU212" s="208"/>
      <c r="AV212" s="208"/>
      <c r="AW212" s="208"/>
      <c r="AX212" s="208"/>
      <c r="AY212" s="208"/>
      <c r="AZ212" s="208"/>
      <c r="BA212" s="208"/>
      <c r="BB212" s="208"/>
      <c r="BC212" s="208"/>
      <c r="BD212" s="208"/>
      <c r="BE212" s="208"/>
      <c r="BF212" s="208"/>
      <c r="BG212" s="208"/>
      <c r="BH212" s="208"/>
      <c r="BI212" s="208"/>
      <c r="BJ212" s="208"/>
      <c r="BK212" s="208"/>
      <c r="BL212" s="208"/>
      <c r="BM212" s="208"/>
      <c r="BN212" s="208"/>
      <c r="BO212" s="208"/>
      <c r="BP212" s="208"/>
      <c r="BQ212" s="208"/>
      <c r="BR212" s="208"/>
      <c r="BS212" s="208"/>
      <c r="BT212" s="208"/>
      <c r="BU212" s="208"/>
      <c r="BV212" s="208"/>
      <c r="BW212" s="208"/>
      <c r="BX212" s="208"/>
      <c r="BY212" s="208"/>
      <c r="BZ212" s="208"/>
      <c r="CA212" s="208"/>
      <c r="CB212" s="208"/>
      <c r="CC212" s="208"/>
      <c r="CD212" s="208"/>
      <c r="CE212" s="208"/>
      <c r="CF212" s="208"/>
      <c r="CG212" s="208"/>
      <c r="CH212" s="208"/>
      <c r="CI212" s="208"/>
      <c r="CJ212" s="208"/>
      <c r="CK212" s="208"/>
      <c r="CL212" s="208"/>
      <c r="CM212" s="208"/>
      <c r="CN212" s="208"/>
      <c r="CO212" s="208"/>
      <c r="CP212" s="208"/>
      <c r="CQ212" s="208"/>
      <c r="CR212" s="208"/>
      <c r="CS212" s="208"/>
    </row>
    <row r="213" spans="36:97" x14ac:dyDescent="0.25">
      <c r="AJ213" s="208"/>
      <c r="AK213" s="208"/>
      <c r="AL213" s="208"/>
      <c r="AM213" s="208"/>
      <c r="AN213" s="208"/>
      <c r="AO213" s="208"/>
      <c r="AP213" s="208"/>
      <c r="AQ213" s="208"/>
      <c r="AR213" s="208"/>
      <c r="AS213" s="208"/>
      <c r="AT213" s="208"/>
      <c r="AU213" s="208"/>
      <c r="AV213" s="208"/>
      <c r="AW213" s="208"/>
      <c r="AX213" s="208"/>
      <c r="AY213" s="208"/>
      <c r="AZ213" s="208"/>
      <c r="BA213" s="208"/>
      <c r="BB213" s="208"/>
      <c r="BC213" s="208"/>
      <c r="BD213" s="208"/>
      <c r="BE213" s="208"/>
      <c r="BF213" s="208"/>
      <c r="BG213" s="208"/>
      <c r="BH213" s="208"/>
      <c r="BI213" s="208"/>
      <c r="BJ213" s="208"/>
      <c r="BK213" s="208"/>
      <c r="BL213" s="208"/>
      <c r="BM213" s="208"/>
      <c r="BN213" s="208"/>
      <c r="BO213" s="208"/>
      <c r="BP213" s="208"/>
      <c r="BQ213" s="208"/>
      <c r="BR213" s="208"/>
      <c r="BS213" s="208"/>
      <c r="BT213" s="208"/>
      <c r="BU213" s="208"/>
      <c r="BV213" s="208"/>
      <c r="BW213" s="208"/>
      <c r="BX213" s="208"/>
      <c r="BY213" s="208"/>
      <c r="BZ213" s="208"/>
      <c r="CA213" s="208"/>
      <c r="CB213" s="208"/>
      <c r="CC213" s="208"/>
      <c r="CD213" s="208"/>
      <c r="CE213" s="208"/>
      <c r="CF213" s="208"/>
      <c r="CG213" s="208"/>
      <c r="CH213" s="208"/>
      <c r="CI213" s="208"/>
      <c r="CJ213" s="208"/>
      <c r="CK213" s="208"/>
      <c r="CL213" s="208"/>
      <c r="CM213" s="208"/>
      <c r="CN213" s="208"/>
      <c r="CO213" s="208"/>
      <c r="CP213" s="208"/>
      <c r="CQ213" s="208"/>
      <c r="CR213" s="208"/>
      <c r="CS213" s="208"/>
    </row>
    <row r="214" spans="36:97" x14ac:dyDescent="0.25">
      <c r="AJ214" s="208"/>
      <c r="AK214" s="208"/>
      <c r="AL214" s="208"/>
      <c r="AM214" s="208"/>
      <c r="AN214" s="208"/>
      <c r="AO214" s="208"/>
      <c r="AP214" s="208"/>
      <c r="AQ214" s="208"/>
      <c r="AR214" s="208"/>
      <c r="AS214" s="208"/>
      <c r="AT214" s="208"/>
      <c r="AU214" s="208"/>
      <c r="AV214" s="208"/>
      <c r="AW214" s="208"/>
      <c r="AX214" s="208"/>
      <c r="AY214" s="208"/>
      <c r="AZ214" s="208"/>
      <c r="BA214" s="208"/>
      <c r="BB214" s="208"/>
      <c r="BC214" s="208"/>
      <c r="BD214" s="208"/>
      <c r="BE214" s="208"/>
      <c r="BF214" s="208"/>
      <c r="BG214" s="208"/>
      <c r="BH214" s="208"/>
      <c r="BI214" s="208"/>
      <c r="BJ214" s="208"/>
      <c r="BK214" s="208"/>
      <c r="BL214" s="208"/>
      <c r="BM214" s="208"/>
      <c r="BN214" s="208"/>
      <c r="BO214" s="208"/>
      <c r="BP214" s="208"/>
      <c r="BQ214" s="208"/>
      <c r="BR214" s="208"/>
      <c r="BS214" s="208"/>
      <c r="BT214" s="208"/>
      <c r="BU214" s="208"/>
      <c r="BV214" s="208"/>
      <c r="BW214" s="208"/>
      <c r="BX214" s="208"/>
      <c r="BY214" s="208"/>
      <c r="BZ214" s="208"/>
      <c r="CA214" s="208"/>
      <c r="CB214" s="208"/>
      <c r="CC214" s="208"/>
      <c r="CD214" s="208"/>
      <c r="CE214" s="208"/>
      <c r="CF214" s="208"/>
      <c r="CG214" s="208"/>
      <c r="CH214" s="208"/>
      <c r="CI214" s="208"/>
      <c r="CJ214" s="208"/>
      <c r="CK214" s="208"/>
      <c r="CL214" s="208"/>
      <c r="CM214" s="208"/>
      <c r="CN214" s="208"/>
      <c r="CO214" s="208"/>
      <c r="CP214" s="208"/>
      <c r="CQ214" s="208"/>
      <c r="CR214" s="208"/>
      <c r="CS214" s="208"/>
    </row>
    <row r="215" spans="36:97" x14ac:dyDescent="0.25">
      <c r="AJ215" s="208"/>
      <c r="AK215" s="208"/>
      <c r="AL215" s="208"/>
      <c r="AM215" s="208"/>
      <c r="AN215" s="208"/>
      <c r="AO215" s="208"/>
      <c r="AP215" s="208"/>
      <c r="AQ215" s="208"/>
      <c r="AR215" s="208"/>
      <c r="AS215" s="208"/>
      <c r="AT215" s="208"/>
      <c r="AU215" s="208"/>
      <c r="AV215" s="208"/>
      <c r="AW215" s="208"/>
      <c r="AX215" s="208"/>
      <c r="AY215" s="208"/>
      <c r="AZ215" s="208"/>
      <c r="BA215" s="208"/>
      <c r="BB215" s="208"/>
      <c r="BC215" s="208"/>
      <c r="BD215" s="208"/>
      <c r="BE215" s="208"/>
      <c r="BF215" s="208"/>
      <c r="BG215" s="208"/>
      <c r="BH215" s="208"/>
      <c r="BI215" s="208"/>
      <c r="BJ215" s="208"/>
      <c r="BK215" s="208"/>
      <c r="BL215" s="208"/>
      <c r="BM215" s="208"/>
      <c r="BN215" s="208"/>
      <c r="BO215" s="208"/>
      <c r="BP215" s="208"/>
      <c r="BQ215" s="208"/>
      <c r="BR215" s="208"/>
      <c r="BS215" s="208"/>
      <c r="BT215" s="208"/>
      <c r="BU215" s="208"/>
      <c r="BV215" s="208"/>
      <c r="BW215" s="208"/>
      <c r="BX215" s="208"/>
      <c r="BY215" s="208"/>
      <c r="BZ215" s="208"/>
      <c r="CA215" s="208"/>
      <c r="CB215" s="208"/>
      <c r="CC215" s="208"/>
      <c r="CD215" s="208"/>
      <c r="CE215" s="208"/>
      <c r="CF215" s="208"/>
      <c r="CG215" s="208"/>
      <c r="CH215" s="208"/>
      <c r="CI215" s="208"/>
      <c r="CJ215" s="208"/>
      <c r="CK215" s="208"/>
      <c r="CL215" s="208"/>
      <c r="CM215" s="208"/>
      <c r="CN215" s="208"/>
      <c r="CO215" s="208"/>
      <c r="CP215" s="208"/>
      <c r="CQ215" s="208"/>
      <c r="CR215" s="208"/>
      <c r="CS215" s="208"/>
    </row>
    <row r="216" spans="36:97" x14ac:dyDescent="0.25">
      <c r="AJ216" s="208"/>
      <c r="AK216" s="208"/>
      <c r="AL216" s="208"/>
      <c r="AM216" s="208"/>
      <c r="AN216" s="208"/>
      <c r="AO216" s="208"/>
      <c r="AP216" s="208"/>
      <c r="AQ216" s="208"/>
      <c r="AR216" s="208"/>
      <c r="AS216" s="208"/>
      <c r="AT216" s="208"/>
      <c r="AU216" s="208"/>
      <c r="AV216" s="208"/>
      <c r="AW216" s="208"/>
      <c r="AX216" s="208"/>
      <c r="AY216" s="208"/>
      <c r="AZ216" s="208"/>
      <c r="BA216" s="208"/>
      <c r="BB216" s="208"/>
      <c r="BC216" s="208"/>
      <c r="BD216" s="208"/>
      <c r="BE216" s="208"/>
      <c r="BF216" s="208"/>
      <c r="BG216" s="208"/>
      <c r="BH216" s="208"/>
      <c r="BI216" s="208"/>
      <c r="BJ216" s="208"/>
      <c r="BK216" s="208"/>
      <c r="BL216" s="208"/>
      <c r="BM216" s="208"/>
      <c r="BN216" s="208"/>
      <c r="BO216" s="208"/>
      <c r="BP216" s="208"/>
      <c r="BQ216" s="208"/>
      <c r="BR216" s="208"/>
      <c r="BS216" s="208"/>
      <c r="BT216" s="208"/>
      <c r="BU216" s="208"/>
      <c r="BV216" s="208"/>
      <c r="BW216" s="208"/>
      <c r="BX216" s="208"/>
      <c r="BY216" s="208"/>
      <c r="BZ216" s="208"/>
      <c r="CA216" s="208"/>
      <c r="CB216" s="208"/>
      <c r="CC216" s="208"/>
      <c r="CD216" s="208"/>
      <c r="CE216" s="208"/>
      <c r="CF216" s="208"/>
      <c r="CG216" s="208"/>
      <c r="CH216" s="208"/>
      <c r="CI216" s="208"/>
      <c r="CJ216" s="208"/>
      <c r="CK216" s="208"/>
      <c r="CL216" s="208"/>
      <c r="CM216" s="208"/>
      <c r="CN216" s="208"/>
      <c r="CO216" s="208"/>
      <c r="CP216" s="208"/>
      <c r="CQ216" s="208"/>
      <c r="CR216" s="208"/>
      <c r="CS216" s="208"/>
    </row>
    <row r="217" spans="36:97" x14ac:dyDescent="0.25">
      <c r="AJ217" s="208"/>
      <c r="AK217" s="208"/>
      <c r="AL217" s="208"/>
      <c r="AM217" s="208"/>
      <c r="AN217" s="208"/>
      <c r="AO217" s="208"/>
      <c r="AP217" s="208"/>
      <c r="AQ217" s="208"/>
      <c r="AR217" s="208"/>
      <c r="AS217" s="208"/>
      <c r="AT217" s="208"/>
      <c r="AU217" s="208"/>
      <c r="AV217" s="208"/>
      <c r="AW217" s="208"/>
      <c r="AX217" s="208"/>
      <c r="AY217" s="208"/>
      <c r="AZ217" s="208"/>
      <c r="BA217" s="208"/>
      <c r="BB217" s="208"/>
      <c r="BC217" s="208"/>
      <c r="BD217" s="208"/>
      <c r="BE217" s="208"/>
      <c r="BF217" s="208"/>
      <c r="BG217" s="208"/>
      <c r="BH217" s="208"/>
      <c r="BI217" s="208"/>
      <c r="BJ217" s="208"/>
      <c r="BK217" s="208"/>
      <c r="BL217" s="208"/>
      <c r="BM217" s="208"/>
      <c r="BN217" s="208"/>
      <c r="BO217" s="208"/>
      <c r="BP217" s="208"/>
      <c r="BQ217" s="208"/>
      <c r="BR217" s="208"/>
      <c r="BS217" s="208"/>
      <c r="BT217" s="208"/>
      <c r="BU217" s="208"/>
      <c r="BV217" s="208"/>
      <c r="BW217" s="208"/>
      <c r="BX217" s="208"/>
      <c r="BY217" s="208"/>
      <c r="BZ217" s="208"/>
      <c r="CA217" s="208"/>
      <c r="CB217" s="208"/>
      <c r="CC217" s="208"/>
      <c r="CD217" s="208"/>
      <c r="CE217" s="208"/>
      <c r="CF217" s="208"/>
      <c r="CG217" s="208"/>
      <c r="CH217" s="208"/>
      <c r="CI217" s="208"/>
      <c r="CJ217" s="208"/>
      <c r="CK217" s="208"/>
      <c r="CL217" s="208"/>
      <c r="CM217" s="208"/>
      <c r="CN217" s="208"/>
      <c r="CO217" s="208"/>
      <c r="CP217" s="208"/>
      <c r="CQ217" s="208"/>
      <c r="CR217" s="208"/>
      <c r="CS217" s="208"/>
    </row>
    <row r="218" spans="36:97" x14ac:dyDescent="0.25">
      <c r="AJ218" s="208"/>
      <c r="AK218" s="208"/>
      <c r="AL218" s="208"/>
      <c r="AM218" s="208"/>
      <c r="AN218" s="208"/>
      <c r="AO218" s="208"/>
      <c r="AP218" s="208"/>
      <c r="AQ218" s="208"/>
      <c r="AR218" s="208"/>
      <c r="AS218" s="208"/>
      <c r="AT218" s="208"/>
      <c r="AU218" s="208"/>
      <c r="AV218" s="208"/>
      <c r="AW218" s="208"/>
      <c r="AX218" s="208"/>
      <c r="AY218" s="208"/>
      <c r="AZ218" s="208"/>
      <c r="BA218" s="208"/>
      <c r="BB218" s="208"/>
      <c r="BC218" s="208"/>
      <c r="BD218" s="208"/>
      <c r="BE218" s="208"/>
      <c r="BF218" s="208"/>
      <c r="BG218" s="208"/>
      <c r="BH218" s="208"/>
      <c r="BI218" s="208"/>
      <c r="BJ218" s="208"/>
      <c r="BK218" s="208"/>
      <c r="BL218" s="208"/>
      <c r="BM218" s="208"/>
      <c r="BN218" s="208"/>
      <c r="BO218" s="208"/>
      <c r="BP218" s="208"/>
      <c r="BQ218" s="208"/>
      <c r="BR218" s="208"/>
      <c r="BS218" s="208"/>
      <c r="BT218" s="208"/>
      <c r="BU218" s="208"/>
      <c r="BV218" s="208"/>
      <c r="BW218" s="208"/>
      <c r="BX218" s="208"/>
      <c r="BY218" s="208"/>
      <c r="BZ218" s="208"/>
      <c r="CA218" s="208"/>
      <c r="CB218" s="208"/>
      <c r="CC218" s="208"/>
      <c r="CD218" s="208"/>
      <c r="CE218" s="208"/>
      <c r="CF218" s="208"/>
      <c r="CG218" s="208"/>
      <c r="CH218" s="208"/>
      <c r="CI218" s="208"/>
      <c r="CJ218" s="208"/>
      <c r="CK218" s="208"/>
      <c r="CL218" s="208"/>
      <c r="CM218" s="208"/>
      <c r="CN218" s="208"/>
      <c r="CO218" s="208"/>
      <c r="CP218" s="208"/>
      <c r="CQ218" s="208"/>
      <c r="CR218" s="208"/>
      <c r="CS218" s="208"/>
    </row>
    <row r="219" spans="36:97" x14ac:dyDescent="0.25">
      <c r="AJ219" s="208"/>
      <c r="AK219" s="208"/>
      <c r="AL219" s="208"/>
      <c r="AM219" s="208"/>
      <c r="AN219" s="208"/>
      <c r="AO219" s="208"/>
      <c r="AP219" s="208"/>
      <c r="AQ219" s="208"/>
      <c r="AR219" s="208"/>
      <c r="AS219" s="208"/>
      <c r="AT219" s="208"/>
      <c r="AU219" s="208"/>
      <c r="AV219" s="208"/>
      <c r="AW219" s="208"/>
      <c r="AX219" s="208"/>
      <c r="AY219" s="208"/>
      <c r="AZ219" s="208"/>
      <c r="BA219" s="208"/>
      <c r="BB219" s="208"/>
      <c r="BC219" s="208"/>
      <c r="BD219" s="208"/>
      <c r="BE219" s="208"/>
      <c r="BF219" s="208"/>
      <c r="BG219" s="208"/>
      <c r="BH219" s="208"/>
      <c r="BI219" s="208"/>
      <c r="BJ219" s="208"/>
      <c r="BK219" s="208"/>
      <c r="BL219" s="208"/>
      <c r="BM219" s="208"/>
      <c r="BN219" s="208"/>
      <c r="BO219" s="208"/>
      <c r="BP219" s="208"/>
      <c r="BQ219" s="208"/>
      <c r="BR219" s="208"/>
      <c r="BS219" s="208"/>
      <c r="BT219" s="208"/>
      <c r="BU219" s="208"/>
      <c r="BV219" s="208"/>
      <c r="BW219" s="208"/>
      <c r="BX219" s="208"/>
      <c r="BY219" s="208"/>
      <c r="BZ219" s="208"/>
      <c r="CA219" s="208"/>
      <c r="CB219" s="208"/>
      <c r="CC219" s="208"/>
      <c r="CD219" s="208"/>
      <c r="CE219" s="208"/>
      <c r="CF219" s="208"/>
      <c r="CG219" s="208"/>
      <c r="CH219" s="208"/>
      <c r="CI219" s="208"/>
      <c r="CJ219" s="208"/>
      <c r="CK219" s="208"/>
      <c r="CL219" s="208"/>
      <c r="CM219" s="208"/>
      <c r="CN219" s="208"/>
      <c r="CO219" s="208"/>
      <c r="CP219" s="208"/>
      <c r="CQ219" s="208"/>
      <c r="CR219" s="208"/>
      <c r="CS219" s="208"/>
    </row>
    <row r="220" spans="36:97" x14ac:dyDescent="0.25">
      <c r="AJ220" s="208"/>
      <c r="AK220" s="208"/>
      <c r="AL220" s="208"/>
      <c r="AM220" s="208"/>
      <c r="AN220" s="208"/>
      <c r="AO220" s="208"/>
      <c r="AP220" s="208"/>
      <c r="AQ220" s="208"/>
      <c r="AR220" s="208"/>
      <c r="AS220" s="208"/>
      <c r="AT220" s="208"/>
      <c r="AU220" s="208"/>
      <c r="AV220" s="208"/>
      <c r="AW220" s="208"/>
      <c r="AX220" s="208"/>
      <c r="AY220" s="208"/>
      <c r="AZ220" s="208"/>
      <c r="BA220" s="208"/>
      <c r="BB220" s="208"/>
      <c r="BC220" s="208"/>
      <c r="BD220" s="208"/>
      <c r="BE220" s="208"/>
      <c r="BF220" s="208"/>
      <c r="BG220" s="208"/>
      <c r="BH220" s="208"/>
      <c r="BI220" s="208"/>
      <c r="BJ220" s="208"/>
      <c r="BK220" s="208"/>
      <c r="BL220" s="208"/>
      <c r="BM220" s="208"/>
      <c r="BN220" s="208"/>
      <c r="BO220" s="208"/>
      <c r="BP220" s="208"/>
      <c r="BQ220" s="208"/>
      <c r="BR220" s="208"/>
      <c r="BS220" s="208"/>
      <c r="BT220" s="208"/>
      <c r="BU220" s="208"/>
      <c r="BV220" s="208"/>
      <c r="BW220" s="208"/>
      <c r="BX220" s="208"/>
      <c r="BY220" s="208"/>
      <c r="BZ220" s="208"/>
      <c r="CA220" s="208"/>
      <c r="CB220" s="208"/>
      <c r="CC220" s="208"/>
      <c r="CD220" s="208"/>
      <c r="CE220" s="208"/>
      <c r="CF220" s="208"/>
      <c r="CG220" s="208"/>
      <c r="CH220" s="208"/>
      <c r="CI220" s="208"/>
      <c r="CJ220" s="208"/>
      <c r="CK220" s="208"/>
      <c r="CL220" s="208"/>
      <c r="CM220" s="208"/>
      <c r="CN220" s="208"/>
      <c r="CO220" s="208"/>
      <c r="CP220" s="208"/>
      <c r="CQ220" s="208"/>
      <c r="CR220" s="208"/>
      <c r="CS220" s="208"/>
    </row>
    <row r="221" spans="36:97" x14ac:dyDescent="0.25">
      <c r="AJ221" s="208"/>
      <c r="AK221" s="208"/>
      <c r="AL221" s="208"/>
      <c r="AM221" s="208"/>
      <c r="AN221" s="208"/>
      <c r="AO221" s="208"/>
      <c r="AP221" s="208"/>
      <c r="AQ221" s="208"/>
      <c r="AR221" s="208"/>
      <c r="AS221" s="208"/>
      <c r="AT221" s="208"/>
      <c r="AU221" s="208"/>
      <c r="AV221" s="208"/>
      <c r="AW221" s="208"/>
      <c r="AX221" s="208"/>
      <c r="AY221" s="208"/>
      <c r="AZ221" s="208"/>
      <c r="BA221" s="208"/>
      <c r="BB221" s="208"/>
      <c r="BC221" s="208"/>
      <c r="BD221" s="208"/>
      <c r="BE221" s="208"/>
      <c r="BF221" s="208"/>
      <c r="BG221" s="208"/>
      <c r="BH221" s="208"/>
      <c r="BI221" s="208"/>
      <c r="BJ221" s="208"/>
      <c r="BK221" s="208"/>
      <c r="BL221" s="208"/>
      <c r="BM221" s="208"/>
      <c r="BN221" s="208"/>
      <c r="BO221" s="208"/>
      <c r="BP221" s="208"/>
      <c r="BQ221" s="208"/>
      <c r="BR221" s="208"/>
      <c r="BS221" s="208"/>
      <c r="BT221" s="208"/>
      <c r="BU221" s="208"/>
      <c r="BV221" s="208"/>
      <c r="BW221" s="208"/>
      <c r="BX221" s="208"/>
      <c r="BY221" s="208"/>
      <c r="BZ221" s="208"/>
      <c r="CA221" s="208"/>
      <c r="CB221" s="208"/>
      <c r="CC221" s="208"/>
      <c r="CD221" s="208"/>
      <c r="CE221" s="208"/>
      <c r="CF221" s="208"/>
      <c r="CG221" s="208"/>
      <c r="CH221" s="208"/>
      <c r="CI221" s="208"/>
      <c r="CJ221" s="208"/>
      <c r="CK221" s="208"/>
      <c r="CL221" s="208"/>
      <c r="CM221" s="208"/>
      <c r="CN221" s="208"/>
      <c r="CO221" s="208"/>
      <c r="CP221" s="208"/>
      <c r="CQ221" s="208"/>
      <c r="CR221" s="208"/>
      <c r="CS221" s="208"/>
    </row>
    <row r="222" spans="36:97" x14ac:dyDescent="0.25">
      <c r="AJ222" s="208"/>
      <c r="AK222" s="208"/>
      <c r="AL222" s="208"/>
      <c r="AM222" s="208"/>
      <c r="AN222" s="208"/>
      <c r="AO222" s="208"/>
      <c r="AP222" s="208"/>
      <c r="AQ222" s="208"/>
      <c r="AR222" s="208"/>
      <c r="AS222" s="208"/>
      <c r="AT222" s="208"/>
      <c r="AU222" s="208"/>
      <c r="AV222" s="208"/>
      <c r="AW222" s="208"/>
      <c r="AX222" s="208"/>
      <c r="AY222" s="208"/>
      <c r="AZ222" s="208"/>
      <c r="BA222" s="208"/>
      <c r="BB222" s="208"/>
      <c r="BC222" s="208"/>
      <c r="BD222" s="208"/>
      <c r="BE222" s="208"/>
      <c r="BF222" s="208"/>
      <c r="BG222" s="208"/>
      <c r="BH222" s="208"/>
      <c r="BI222" s="208"/>
      <c r="BJ222" s="208"/>
      <c r="BK222" s="208"/>
      <c r="BL222" s="208"/>
      <c r="BM222" s="208"/>
      <c r="BN222" s="208"/>
      <c r="BO222" s="208"/>
      <c r="BP222" s="208"/>
      <c r="BQ222" s="208"/>
      <c r="BR222" s="208"/>
      <c r="BS222" s="208"/>
      <c r="BT222" s="208"/>
      <c r="BU222" s="208"/>
      <c r="BV222" s="208"/>
      <c r="BW222" s="208"/>
      <c r="BX222" s="208"/>
      <c r="BY222" s="208"/>
      <c r="BZ222" s="208"/>
      <c r="CA222" s="208"/>
      <c r="CB222" s="208"/>
      <c r="CC222" s="208"/>
      <c r="CD222" s="208"/>
      <c r="CE222" s="208"/>
      <c r="CF222" s="208"/>
      <c r="CG222" s="208"/>
      <c r="CH222" s="208"/>
      <c r="CI222" s="208"/>
      <c r="CJ222" s="208"/>
      <c r="CK222" s="208"/>
      <c r="CL222" s="208"/>
      <c r="CM222" s="208"/>
      <c r="CN222" s="208"/>
      <c r="CO222" s="208"/>
      <c r="CP222" s="208"/>
      <c r="CQ222" s="208"/>
      <c r="CR222" s="208"/>
      <c r="CS222" s="208"/>
    </row>
    <row r="223" spans="36:97" x14ac:dyDescent="0.25">
      <c r="AJ223" s="208"/>
      <c r="AK223" s="208"/>
      <c r="AL223" s="208"/>
      <c r="AM223" s="208"/>
      <c r="AN223" s="208"/>
      <c r="AO223" s="208"/>
      <c r="AP223" s="208"/>
      <c r="AQ223" s="208"/>
      <c r="AR223" s="208"/>
      <c r="AS223" s="208"/>
      <c r="AT223" s="208"/>
      <c r="AU223" s="208"/>
      <c r="AV223" s="208"/>
      <c r="AW223" s="208"/>
      <c r="AX223" s="208"/>
      <c r="AY223" s="208"/>
      <c r="AZ223" s="208"/>
      <c r="BA223" s="208"/>
      <c r="BB223" s="208"/>
      <c r="BC223" s="208"/>
      <c r="BD223" s="208"/>
      <c r="BE223" s="208"/>
      <c r="BF223" s="208"/>
      <c r="BG223" s="208"/>
      <c r="BH223" s="208"/>
      <c r="BI223" s="208"/>
      <c r="BJ223" s="208"/>
      <c r="BK223" s="208"/>
      <c r="BL223" s="208"/>
      <c r="BM223" s="208"/>
      <c r="BN223" s="208"/>
      <c r="BO223" s="208"/>
      <c r="BP223" s="208"/>
      <c r="BQ223" s="208"/>
      <c r="BR223" s="208"/>
      <c r="BS223" s="208"/>
      <c r="BT223" s="208"/>
      <c r="BU223" s="208"/>
      <c r="BV223" s="208"/>
      <c r="BW223" s="208"/>
      <c r="BX223" s="208"/>
      <c r="BY223" s="208"/>
      <c r="BZ223" s="208"/>
      <c r="CA223" s="208"/>
      <c r="CB223" s="208"/>
      <c r="CC223" s="208"/>
      <c r="CD223" s="208"/>
      <c r="CE223" s="208"/>
      <c r="CF223" s="208"/>
      <c r="CG223" s="208"/>
      <c r="CH223" s="208"/>
      <c r="CI223" s="208"/>
      <c r="CJ223" s="208"/>
      <c r="CK223" s="208"/>
      <c r="CL223" s="208"/>
      <c r="CM223" s="208"/>
      <c r="CN223" s="208"/>
      <c r="CO223" s="208"/>
      <c r="CP223" s="208"/>
      <c r="CQ223" s="208"/>
      <c r="CR223" s="208"/>
      <c r="CS223" s="208"/>
    </row>
    <row r="224" spans="36:97" x14ac:dyDescent="0.25">
      <c r="AJ224" s="208"/>
      <c r="AK224" s="208"/>
      <c r="AL224" s="208"/>
      <c r="AM224" s="208"/>
      <c r="AN224" s="208"/>
      <c r="AO224" s="208"/>
      <c r="AP224" s="208"/>
      <c r="AQ224" s="208"/>
      <c r="AR224" s="208"/>
      <c r="AS224" s="208"/>
      <c r="AT224" s="208"/>
      <c r="AU224" s="208"/>
      <c r="AV224" s="208"/>
      <c r="AW224" s="208"/>
      <c r="AX224" s="208"/>
      <c r="AY224" s="208"/>
      <c r="AZ224" s="208"/>
      <c r="BA224" s="208"/>
      <c r="BB224" s="208"/>
      <c r="BC224" s="208"/>
      <c r="BD224" s="208"/>
      <c r="BE224" s="208"/>
      <c r="BF224" s="208"/>
      <c r="BG224" s="208"/>
      <c r="BH224" s="208"/>
      <c r="BI224" s="208"/>
      <c r="BJ224" s="208"/>
      <c r="BK224" s="208"/>
      <c r="BL224" s="208"/>
      <c r="BM224" s="208"/>
      <c r="BN224" s="208"/>
      <c r="BO224" s="208"/>
      <c r="BP224" s="208"/>
      <c r="BQ224" s="208"/>
      <c r="BR224" s="208"/>
      <c r="BS224" s="208"/>
      <c r="BT224" s="208"/>
      <c r="BU224" s="208"/>
      <c r="BV224" s="208"/>
      <c r="BW224" s="208"/>
      <c r="BX224" s="208"/>
      <c r="BY224" s="208"/>
      <c r="BZ224" s="208"/>
      <c r="CA224" s="208"/>
      <c r="CB224" s="208"/>
      <c r="CC224" s="208"/>
      <c r="CD224" s="208"/>
      <c r="CE224" s="208"/>
      <c r="CF224" s="208"/>
      <c r="CG224" s="208"/>
      <c r="CH224" s="208"/>
      <c r="CI224" s="208"/>
      <c r="CJ224" s="208"/>
      <c r="CK224" s="208"/>
      <c r="CL224" s="208"/>
      <c r="CM224" s="208"/>
      <c r="CN224" s="208"/>
      <c r="CO224" s="208"/>
      <c r="CP224" s="208"/>
      <c r="CQ224" s="208"/>
      <c r="CR224" s="208"/>
      <c r="CS224" s="208"/>
    </row>
    <row r="225" spans="36:97" x14ac:dyDescent="0.25">
      <c r="AJ225" s="208"/>
      <c r="AK225" s="208"/>
      <c r="AL225" s="208"/>
      <c r="AM225" s="208"/>
      <c r="AN225" s="208"/>
      <c r="AO225" s="208"/>
      <c r="AP225" s="208"/>
      <c r="AQ225" s="208"/>
      <c r="AR225" s="208"/>
      <c r="AS225" s="208"/>
      <c r="AT225" s="208"/>
      <c r="AU225" s="208"/>
      <c r="AV225" s="208"/>
      <c r="AW225" s="208"/>
      <c r="AX225" s="208"/>
      <c r="AY225" s="208"/>
      <c r="AZ225" s="208"/>
      <c r="BA225" s="208"/>
      <c r="BB225" s="208"/>
      <c r="BC225" s="208"/>
      <c r="BD225" s="208"/>
      <c r="BE225" s="208"/>
      <c r="BF225" s="208"/>
      <c r="BG225" s="208"/>
      <c r="BH225" s="208"/>
      <c r="BI225" s="208"/>
      <c r="BJ225" s="208"/>
      <c r="BK225" s="208"/>
      <c r="BL225" s="208"/>
      <c r="BM225" s="208"/>
      <c r="BN225" s="208"/>
      <c r="BO225" s="208"/>
      <c r="BP225" s="208"/>
      <c r="BQ225" s="208"/>
      <c r="BR225" s="208"/>
      <c r="BS225" s="208"/>
      <c r="BT225" s="208"/>
      <c r="BU225" s="208"/>
      <c r="BV225" s="208"/>
      <c r="BW225" s="208"/>
      <c r="BX225" s="208"/>
      <c r="BY225" s="208"/>
      <c r="BZ225" s="208"/>
      <c r="CA225" s="208"/>
      <c r="CB225" s="208"/>
      <c r="CC225" s="208"/>
      <c r="CD225" s="208"/>
      <c r="CE225" s="208"/>
      <c r="CF225" s="208"/>
      <c r="CG225" s="208"/>
      <c r="CH225" s="208"/>
      <c r="CI225" s="208"/>
      <c r="CJ225" s="208"/>
      <c r="CK225" s="208"/>
      <c r="CL225" s="208"/>
      <c r="CM225" s="208"/>
      <c r="CN225" s="208"/>
      <c r="CO225" s="208"/>
      <c r="CP225" s="208"/>
      <c r="CQ225" s="208"/>
      <c r="CR225" s="208"/>
      <c r="CS225" s="208"/>
    </row>
    <row r="226" spans="36:97" x14ac:dyDescent="0.25">
      <c r="AJ226" s="208"/>
      <c r="AK226" s="208"/>
      <c r="AL226" s="208"/>
      <c r="AM226" s="208"/>
      <c r="AN226" s="208"/>
      <c r="AO226" s="208"/>
      <c r="AP226" s="208"/>
      <c r="AQ226" s="208"/>
      <c r="AR226" s="208"/>
      <c r="AS226" s="208"/>
      <c r="AT226" s="208"/>
      <c r="AU226" s="208"/>
      <c r="AV226" s="208"/>
      <c r="AW226" s="208"/>
      <c r="AX226" s="208"/>
      <c r="AY226" s="208"/>
      <c r="AZ226" s="208"/>
      <c r="BA226" s="208"/>
      <c r="BB226" s="208"/>
      <c r="BC226" s="208"/>
      <c r="BD226" s="208"/>
      <c r="BE226" s="208"/>
      <c r="BF226" s="208"/>
      <c r="BG226" s="208"/>
      <c r="BH226" s="208"/>
      <c r="BI226" s="208"/>
      <c r="BJ226" s="208"/>
      <c r="BK226" s="208"/>
      <c r="BL226" s="208"/>
      <c r="BM226" s="208"/>
      <c r="BN226" s="208"/>
      <c r="BO226" s="208"/>
      <c r="BP226" s="208"/>
      <c r="BQ226" s="208"/>
      <c r="BR226" s="208"/>
      <c r="BS226" s="208"/>
      <c r="BT226" s="208"/>
      <c r="BU226" s="208"/>
      <c r="BV226" s="208"/>
      <c r="BW226" s="208"/>
      <c r="BX226" s="208"/>
      <c r="BY226" s="208"/>
      <c r="BZ226" s="208"/>
      <c r="CA226" s="208"/>
      <c r="CB226" s="208"/>
      <c r="CC226" s="208"/>
      <c r="CD226" s="208"/>
      <c r="CE226" s="208"/>
      <c r="CF226" s="208"/>
      <c r="CG226" s="208"/>
      <c r="CH226" s="208"/>
      <c r="CI226" s="208"/>
      <c r="CJ226" s="208"/>
      <c r="CK226" s="208"/>
      <c r="CL226" s="208"/>
      <c r="CM226" s="208"/>
      <c r="CN226" s="208"/>
      <c r="CO226" s="208"/>
      <c r="CP226" s="208"/>
      <c r="CQ226" s="208"/>
      <c r="CR226" s="208"/>
      <c r="CS226" s="208"/>
    </row>
    <row r="227" spans="36:97" x14ac:dyDescent="0.25">
      <c r="AJ227" s="208"/>
      <c r="AK227" s="208"/>
      <c r="AL227" s="208"/>
      <c r="AM227" s="208"/>
      <c r="AN227" s="208"/>
      <c r="AO227" s="208"/>
      <c r="AP227" s="208"/>
      <c r="AQ227" s="208"/>
      <c r="AR227" s="208"/>
      <c r="AS227" s="208"/>
      <c r="AT227" s="208"/>
      <c r="AU227" s="208"/>
      <c r="AV227" s="208"/>
      <c r="AW227" s="208"/>
      <c r="AX227" s="208"/>
      <c r="AY227" s="208"/>
      <c r="AZ227" s="208"/>
      <c r="BA227" s="208"/>
      <c r="BB227" s="208"/>
      <c r="BC227" s="208"/>
      <c r="BD227" s="208"/>
      <c r="BE227" s="208"/>
      <c r="BF227" s="208"/>
      <c r="BG227" s="208"/>
      <c r="BH227" s="208"/>
      <c r="BI227" s="208"/>
      <c r="BJ227" s="208"/>
      <c r="BK227" s="208"/>
      <c r="BL227" s="208"/>
      <c r="BM227" s="208"/>
      <c r="BN227" s="208"/>
      <c r="BO227" s="208"/>
      <c r="BP227" s="208"/>
      <c r="BQ227" s="208"/>
      <c r="BR227" s="208"/>
      <c r="BS227" s="208"/>
      <c r="BT227" s="208"/>
      <c r="BU227" s="208"/>
      <c r="BV227" s="208"/>
      <c r="BW227" s="208"/>
      <c r="BX227" s="208"/>
      <c r="BY227" s="208"/>
      <c r="BZ227" s="208"/>
      <c r="CA227" s="208"/>
      <c r="CB227" s="208"/>
      <c r="CC227" s="208"/>
      <c r="CD227" s="208"/>
      <c r="CE227" s="208"/>
      <c r="CF227" s="208"/>
      <c r="CG227" s="208"/>
      <c r="CH227" s="208"/>
      <c r="CI227" s="208"/>
      <c r="CJ227" s="208"/>
      <c r="CK227" s="208"/>
      <c r="CL227" s="208"/>
      <c r="CM227" s="208"/>
      <c r="CN227" s="208"/>
      <c r="CO227" s="208"/>
      <c r="CP227" s="208"/>
      <c r="CQ227" s="208"/>
      <c r="CR227" s="208"/>
      <c r="CS227" s="208"/>
    </row>
    <row r="228" spans="36:97" x14ac:dyDescent="0.25">
      <c r="AJ228" s="208"/>
      <c r="AK228" s="208"/>
      <c r="AL228" s="208"/>
      <c r="AM228" s="208"/>
      <c r="AN228" s="208"/>
      <c r="AO228" s="208"/>
      <c r="AP228" s="208"/>
      <c r="AQ228" s="208"/>
      <c r="AR228" s="208"/>
      <c r="AS228" s="208"/>
      <c r="AT228" s="208"/>
      <c r="AU228" s="208"/>
      <c r="AV228" s="208"/>
      <c r="AW228" s="208"/>
      <c r="AX228" s="208"/>
      <c r="AY228" s="208"/>
      <c r="AZ228" s="208"/>
      <c r="BA228" s="208"/>
      <c r="BB228" s="208"/>
      <c r="BC228" s="208"/>
      <c r="BD228" s="208"/>
      <c r="BE228" s="208"/>
      <c r="BF228" s="208"/>
      <c r="BG228" s="208"/>
      <c r="BH228" s="208"/>
      <c r="BI228" s="208"/>
      <c r="BJ228" s="208"/>
      <c r="BK228" s="208"/>
      <c r="BL228" s="208"/>
      <c r="BM228" s="208"/>
      <c r="BN228" s="208"/>
      <c r="BO228" s="208"/>
      <c r="BP228" s="208"/>
      <c r="BQ228" s="208"/>
      <c r="BR228" s="208"/>
      <c r="BS228" s="208"/>
      <c r="BT228" s="208"/>
      <c r="BU228" s="208"/>
      <c r="BV228" s="208"/>
      <c r="BW228" s="208"/>
      <c r="BX228" s="208"/>
      <c r="BY228" s="208"/>
      <c r="BZ228" s="208"/>
      <c r="CA228" s="208"/>
      <c r="CB228" s="208"/>
      <c r="CC228" s="208"/>
      <c r="CD228" s="208"/>
      <c r="CE228" s="208"/>
      <c r="CF228" s="208"/>
      <c r="CG228" s="208"/>
      <c r="CH228" s="208"/>
      <c r="CI228" s="208"/>
      <c r="CJ228" s="208"/>
      <c r="CK228" s="208"/>
      <c r="CL228" s="208"/>
      <c r="CM228" s="208"/>
      <c r="CN228" s="208"/>
      <c r="CO228" s="208"/>
      <c r="CP228" s="208"/>
      <c r="CQ228" s="208"/>
      <c r="CR228" s="208"/>
      <c r="CS228" s="208"/>
    </row>
    <row r="229" spans="36:97" x14ac:dyDescent="0.25">
      <c r="AJ229" s="208"/>
      <c r="AK229" s="208"/>
      <c r="AL229" s="208"/>
      <c r="AM229" s="208"/>
      <c r="AN229" s="208"/>
      <c r="AO229" s="208"/>
      <c r="AP229" s="208"/>
      <c r="AQ229" s="208"/>
      <c r="AR229" s="208"/>
      <c r="AS229" s="208"/>
      <c r="AT229" s="208"/>
      <c r="AU229" s="208"/>
      <c r="AV229" s="208"/>
      <c r="AW229" s="208"/>
      <c r="AX229" s="208"/>
      <c r="AY229" s="208"/>
      <c r="AZ229" s="208"/>
      <c r="BA229" s="208"/>
      <c r="BB229" s="208"/>
      <c r="BC229" s="208"/>
      <c r="BD229" s="208"/>
      <c r="BE229" s="208"/>
      <c r="BF229" s="208"/>
      <c r="BG229" s="208"/>
      <c r="BH229" s="208"/>
      <c r="BI229" s="208"/>
      <c r="BJ229" s="208"/>
      <c r="BK229" s="208"/>
      <c r="BL229" s="208"/>
      <c r="BM229" s="208"/>
      <c r="BN229" s="208"/>
      <c r="BO229" s="208"/>
      <c r="BP229" s="208"/>
      <c r="BQ229" s="208"/>
      <c r="BR229" s="208"/>
      <c r="BS229" s="208"/>
      <c r="BT229" s="208"/>
      <c r="BU229" s="208"/>
      <c r="BV229" s="208"/>
      <c r="BW229" s="208"/>
      <c r="BX229" s="208"/>
      <c r="BY229" s="208"/>
      <c r="BZ229" s="208"/>
      <c r="CA229" s="208"/>
      <c r="CB229" s="208"/>
      <c r="CC229" s="208"/>
      <c r="CD229" s="208"/>
      <c r="CE229" s="208"/>
      <c r="CF229" s="208"/>
      <c r="CG229" s="208"/>
      <c r="CH229" s="208"/>
      <c r="CI229" s="208"/>
      <c r="CJ229" s="208"/>
      <c r="CK229" s="208"/>
      <c r="CL229" s="208"/>
      <c r="CM229" s="208"/>
      <c r="CN229" s="208"/>
      <c r="CO229" s="208"/>
      <c r="CP229" s="208"/>
      <c r="CQ229" s="208"/>
      <c r="CR229" s="208"/>
      <c r="CS229" s="208"/>
    </row>
    <row r="230" spans="36:97" x14ac:dyDescent="0.25">
      <c r="AJ230" s="208"/>
      <c r="AK230" s="208"/>
      <c r="AL230" s="208"/>
      <c r="AM230" s="208"/>
      <c r="AN230" s="208"/>
      <c r="AO230" s="208"/>
      <c r="AP230" s="208"/>
      <c r="AQ230" s="208"/>
      <c r="AR230" s="208"/>
      <c r="AS230" s="208"/>
      <c r="AT230" s="208"/>
      <c r="AU230" s="208"/>
      <c r="AV230" s="208"/>
      <c r="AW230" s="208"/>
      <c r="AX230" s="208"/>
      <c r="AY230" s="208"/>
      <c r="AZ230" s="208"/>
      <c r="BA230" s="208"/>
      <c r="BB230" s="208"/>
      <c r="BC230" s="208"/>
      <c r="BD230" s="208"/>
      <c r="BE230" s="208"/>
      <c r="BF230" s="208"/>
      <c r="BG230" s="208"/>
      <c r="BH230" s="208"/>
      <c r="BI230" s="208"/>
      <c r="BJ230" s="208"/>
      <c r="BK230" s="208"/>
      <c r="BL230" s="208"/>
      <c r="BM230" s="208"/>
      <c r="BN230" s="208"/>
      <c r="BO230" s="208"/>
      <c r="BP230" s="208"/>
      <c r="BQ230" s="208"/>
      <c r="BR230" s="208"/>
      <c r="BS230" s="208"/>
      <c r="BT230" s="208"/>
      <c r="BU230" s="208"/>
      <c r="BV230" s="208"/>
      <c r="BW230" s="208"/>
      <c r="BX230" s="208"/>
      <c r="BY230" s="208"/>
      <c r="BZ230" s="208"/>
      <c r="CA230" s="208"/>
      <c r="CB230" s="208"/>
      <c r="CC230" s="208"/>
      <c r="CD230" s="208"/>
      <c r="CE230" s="208"/>
      <c r="CF230" s="208"/>
      <c r="CG230" s="208"/>
      <c r="CH230" s="208"/>
      <c r="CI230" s="208"/>
      <c r="CJ230" s="208"/>
      <c r="CK230" s="208"/>
      <c r="CL230" s="208"/>
      <c r="CM230" s="208"/>
      <c r="CN230" s="208"/>
      <c r="CO230" s="208"/>
      <c r="CP230" s="208"/>
      <c r="CQ230" s="208"/>
      <c r="CR230" s="208"/>
      <c r="CS230" s="208"/>
    </row>
    <row r="231" spans="36:97" x14ac:dyDescent="0.25">
      <c r="AJ231" s="208"/>
      <c r="AK231" s="208"/>
      <c r="AL231" s="208"/>
      <c r="AM231" s="208"/>
      <c r="AN231" s="208"/>
      <c r="AO231" s="208"/>
      <c r="AP231" s="208"/>
      <c r="AQ231" s="208"/>
      <c r="AR231" s="208"/>
      <c r="AS231" s="208"/>
      <c r="AT231" s="208"/>
      <c r="AU231" s="208"/>
      <c r="AV231" s="208"/>
      <c r="AW231" s="208"/>
      <c r="AX231" s="208"/>
      <c r="AY231" s="208"/>
      <c r="AZ231" s="208"/>
      <c r="BA231" s="208"/>
      <c r="BB231" s="208"/>
      <c r="BC231" s="208"/>
      <c r="BD231" s="208"/>
      <c r="BE231" s="208"/>
      <c r="BF231" s="208"/>
      <c r="BG231" s="208"/>
      <c r="BH231" s="208"/>
      <c r="BI231" s="208"/>
      <c r="BJ231" s="208"/>
      <c r="BK231" s="208"/>
      <c r="BL231" s="208"/>
      <c r="BM231" s="208"/>
      <c r="BN231" s="208"/>
      <c r="BO231" s="208"/>
      <c r="BP231" s="208"/>
      <c r="BQ231" s="208"/>
      <c r="BR231" s="208"/>
      <c r="BS231" s="208"/>
      <c r="BT231" s="208"/>
      <c r="BU231" s="208"/>
      <c r="BV231" s="208"/>
      <c r="BW231" s="208"/>
      <c r="BX231" s="208"/>
      <c r="BY231" s="208"/>
      <c r="BZ231" s="208"/>
      <c r="CA231" s="208"/>
      <c r="CB231" s="208"/>
      <c r="CC231" s="208"/>
      <c r="CD231" s="208"/>
      <c r="CE231" s="208"/>
      <c r="CF231" s="208"/>
      <c r="CG231" s="208"/>
      <c r="CH231" s="208"/>
      <c r="CI231" s="208"/>
      <c r="CJ231" s="208"/>
      <c r="CK231" s="208"/>
      <c r="CL231" s="208"/>
      <c r="CM231" s="208"/>
      <c r="CN231" s="208"/>
      <c r="CO231" s="208"/>
      <c r="CP231" s="208"/>
      <c r="CQ231" s="208"/>
      <c r="CR231" s="208"/>
      <c r="CS231" s="208"/>
    </row>
    <row r="232" spans="36:97" x14ac:dyDescent="0.25">
      <c r="AJ232" s="208"/>
      <c r="AK232" s="208"/>
      <c r="AL232" s="208"/>
      <c r="AM232" s="208"/>
      <c r="AN232" s="208"/>
      <c r="AO232" s="208"/>
      <c r="AP232" s="208"/>
      <c r="AQ232" s="208"/>
      <c r="AR232" s="208"/>
      <c r="AS232" s="208"/>
      <c r="AT232" s="208"/>
      <c r="AU232" s="208"/>
      <c r="AV232" s="208"/>
      <c r="AW232" s="208"/>
      <c r="AX232" s="208"/>
      <c r="AY232" s="208"/>
      <c r="AZ232" s="208"/>
      <c r="BA232" s="208"/>
      <c r="BB232" s="208"/>
      <c r="BC232" s="208"/>
      <c r="BD232" s="208"/>
      <c r="BE232" s="208"/>
      <c r="BF232" s="208"/>
      <c r="BG232" s="208"/>
      <c r="BH232" s="208"/>
      <c r="BI232" s="208"/>
      <c r="BJ232" s="208"/>
      <c r="BK232" s="208"/>
      <c r="BL232" s="208"/>
      <c r="BM232" s="208"/>
      <c r="BN232" s="208"/>
      <c r="BO232" s="208"/>
      <c r="BP232" s="208"/>
      <c r="BQ232" s="208"/>
      <c r="BR232" s="208"/>
      <c r="BS232" s="208"/>
      <c r="BT232" s="208"/>
      <c r="BU232" s="208"/>
      <c r="BV232" s="208"/>
      <c r="BW232" s="208"/>
      <c r="BX232" s="208"/>
      <c r="BY232" s="208"/>
      <c r="BZ232" s="208"/>
      <c r="CA232" s="208"/>
      <c r="CB232" s="208"/>
      <c r="CC232" s="208"/>
      <c r="CD232" s="208"/>
      <c r="CE232" s="208"/>
      <c r="CF232" s="208"/>
      <c r="CG232" s="208"/>
      <c r="CH232" s="208"/>
      <c r="CI232" s="208"/>
      <c r="CJ232" s="208"/>
      <c r="CK232" s="208"/>
      <c r="CL232" s="208"/>
      <c r="CM232" s="208"/>
      <c r="CN232" s="208"/>
      <c r="CO232" s="208"/>
      <c r="CP232" s="208"/>
      <c r="CQ232" s="208"/>
      <c r="CR232" s="208"/>
      <c r="CS232" s="208"/>
    </row>
    <row r="233" spans="36:97" x14ac:dyDescent="0.25">
      <c r="AJ233" s="208"/>
      <c r="AK233" s="208"/>
      <c r="AL233" s="208"/>
      <c r="AM233" s="208"/>
      <c r="AN233" s="208"/>
      <c r="AO233" s="208"/>
      <c r="AP233" s="208"/>
      <c r="AQ233" s="208"/>
      <c r="AR233" s="208"/>
      <c r="AS233" s="208"/>
      <c r="AT233" s="208"/>
      <c r="AU233" s="208"/>
      <c r="AV233" s="208"/>
      <c r="AW233" s="208"/>
      <c r="AX233" s="208"/>
      <c r="AY233" s="208"/>
      <c r="AZ233" s="208"/>
      <c r="BA233" s="208"/>
      <c r="BB233" s="208"/>
      <c r="BC233" s="208"/>
      <c r="BD233" s="208"/>
      <c r="BE233" s="208"/>
      <c r="BF233" s="208"/>
      <c r="BG233" s="208"/>
      <c r="BH233" s="208"/>
      <c r="BI233" s="208"/>
      <c r="BJ233" s="208"/>
      <c r="BK233" s="208"/>
      <c r="BL233" s="208"/>
      <c r="BM233" s="208"/>
      <c r="BN233" s="208"/>
      <c r="BO233" s="208"/>
      <c r="BP233" s="208"/>
      <c r="BQ233" s="208"/>
      <c r="BR233" s="208"/>
      <c r="BS233" s="208"/>
      <c r="BT233" s="208"/>
      <c r="BU233" s="208"/>
      <c r="BV233" s="208"/>
      <c r="BW233" s="208"/>
      <c r="BX233" s="208"/>
      <c r="BY233" s="208"/>
      <c r="BZ233" s="208"/>
      <c r="CA233" s="208"/>
      <c r="CB233" s="208"/>
      <c r="CC233" s="208"/>
      <c r="CD233" s="208"/>
      <c r="CE233" s="208"/>
      <c r="CF233" s="208"/>
      <c r="CG233" s="208"/>
      <c r="CH233" s="208"/>
      <c r="CI233" s="208"/>
      <c r="CJ233" s="208"/>
      <c r="CK233" s="208"/>
      <c r="CL233" s="208"/>
      <c r="CM233" s="208"/>
      <c r="CN233" s="208"/>
      <c r="CO233" s="208"/>
      <c r="CP233" s="208"/>
      <c r="CQ233" s="208"/>
      <c r="CR233" s="208"/>
      <c r="CS233" s="208"/>
    </row>
    <row r="234" spans="36:97" x14ac:dyDescent="0.25">
      <c r="AJ234" s="208"/>
      <c r="AK234" s="208"/>
      <c r="AL234" s="208"/>
      <c r="AM234" s="208"/>
      <c r="AN234" s="208"/>
      <c r="AO234" s="208"/>
      <c r="AP234" s="208"/>
      <c r="AQ234" s="208"/>
      <c r="AR234" s="208"/>
      <c r="AS234" s="208"/>
      <c r="AT234" s="208"/>
      <c r="AU234" s="208"/>
      <c r="AV234" s="208"/>
      <c r="AW234" s="208"/>
      <c r="AX234" s="208"/>
      <c r="AY234" s="208"/>
      <c r="AZ234" s="208"/>
      <c r="BA234" s="208"/>
      <c r="BB234" s="208"/>
      <c r="BC234" s="208"/>
      <c r="BD234" s="208"/>
      <c r="BE234" s="208"/>
      <c r="BF234" s="208"/>
      <c r="BG234" s="208"/>
      <c r="BH234" s="208"/>
      <c r="BI234" s="208"/>
      <c r="BJ234" s="208"/>
      <c r="BK234" s="208"/>
      <c r="BL234" s="208"/>
      <c r="BM234" s="208"/>
      <c r="BN234" s="208"/>
      <c r="BO234" s="208"/>
      <c r="BP234" s="208"/>
      <c r="BQ234" s="208"/>
      <c r="BR234" s="208"/>
      <c r="BS234" s="208"/>
      <c r="BT234" s="208"/>
      <c r="BU234" s="208"/>
      <c r="BV234" s="208"/>
      <c r="BW234" s="208"/>
      <c r="BX234" s="208"/>
      <c r="BY234" s="208"/>
      <c r="BZ234" s="208"/>
      <c r="CA234" s="208"/>
      <c r="CB234" s="208"/>
      <c r="CC234" s="208"/>
      <c r="CD234" s="208"/>
      <c r="CE234" s="208"/>
      <c r="CF234" s="208"/>
      <c r="CG234" s="208"/>
      <c r="CH234" s="208"/>
      <c r="CI234" s="208"/>
      <c r="CJ234" s="208"/>
      <c r="CK234" s="208"/>
      <c r="CL234" s="208"/>
      <c r="CM234" s="208"/>
      <c r="CN234" s="208"/>
      <c r="CO234" s="208"/>
      <c r="CP234" s="208"/>
      <c r="CQ234" s="208"/>
      <c r="CR234" s="208"/>
      <c r="CS234" s="208"/>
    </row>
    <row r="235" spans="36:97" x14ac:dyDescent="0.25">
      <c r="AJ235" s="208"/>
      <c r="AK235" s="208"/>
      <c r="AL235" s="208"/>
      <c r="AM235" s="208"/>
      <c r="AN235" s="208"/>
      <c r="AO235" s="208"/>
      <c r="AP235" s="208"/>
      <c r="AQ235" s="208"/>
      <c r="AR235" s="208"/>
      <c r="AS235" s="208"/>
      <c r="AT235" s="208"/>
      <c r="AU235" s="208"/>
      <c r="AV235" s="208"/>
      <c r="AW235" s="208"/>
      <c r="AX235" s="208"/>
      <c r="AY235" s="208"/>
      <c r="AZ235" s="208"/>
      <c r="BA235" s="208"/>
      <c r="BB235" s="208"/>
      <c r="BC235" s="208"/>
      <c r="BD235" s="208"/>
      <c r="BE235" s="208"/>
      <c r="BF235" s="208"/>
      <c r="BG235" s="208"/>
      <c r="BH235" s="208"/>
      <c r="BI235" s="208"/>
      <c r="BJ235" s="208"/>
      <c r="BK235" s="208"/>
      <c r="BL235" s="208"/>
      <c r="BM235" s="208"/>
      <c r="BN235" s="208"/>
      <c r="BO235" s="208"/>
      <c r="BP235" s="208"/>
      <c r="BQ235" s="208"/>
      <c r="BR235" s="208"/>
      <c r="BS235" s="208"/>
      <c r="BT235" s="208"/>
      <c r="BU235" s="208"/>
      <c r="BV235" s="208"/>
      <c r="BW235" s="208"/>
      <c r="BX235" s="208"/>
      <c r="BY235" s="208"/>
      <c r="BZ235" s="208"/>
      <c r="CA235" s="208"/>
      <c r="CB235" s="208"/>
      <c r="CC235" s="208"/>
      <c r="CD235" s="208"/>
      <c r="CE235" s="208"/>
      <c r="CF235" s="208"/>
      <c r="CG235" s="208"/>
      <c r="CH235" s="208"/>
      <c r="CI235" s="208"/>
      <c r="CJ235" s="208"/>
      <c r="CK235" s="208"/>
      <c r="CL235" s="208"/>
      <c r="CM235" s="208"/>
      <c r="CN235" s="208"/>
      <c r="CO235" s="208"/>
      <c r="CP235" s="208"/>
      <c r="CQ235" s="208"/>
      <c r="CR235" s="208"/>
      <c r="CS235" s="208"/>
    </row>
    <row r="236" spans="36:97" x14ac:dyDescent="0.25">
      <c r="AJ236" s="208"/>
      <c r="AK236" s="208"/>
      <c r="AL236" s="208"/>
      <c r="AM236" s="208"/>
      <c r="AN236" s="208"/>
      <c r="AO236" s="208"/>
      <c r="AP236" s="208"/>
      <c r="AQ236" s="208"/>
      <c r="AR236" s="208"/>
      <c r="AS236" s="208"/>
      <c r="AT236" s="208"/>
      <c r="AU236" s="208"/>
      <c r="AV236" s="208"/>
      <c r="AW236" s="208"/>
      <c r="AX236" s="208"/>
      <c r="AY236" s="208"/>
      <c r="AZ236" s="208"/>
      <c r="BA236" s="208"/>
      <c r="BB236" s="208"/>
      <c r="BC236" s="208"/>
      <c r="BD236" s="208"/>
      <c r="BE236" s="208"/>
      <c r="BF236" s="208"/>
      <c r="BG236" s="208"/>
      <c r="BH236" s="208"/>
      <c r="BI236" s="208"/>
      <c r="BJ236" s="208"/>
      <c r="BK236" s="208"/>
      <c r="BL236" s="208"/>
      <c r="BM236" s="208"/>
      <c r="BN236" s="208"/>
      <c r="BO236" s="208"/>
      <c r="BP236" s="208"/>
      <c r="BQ236" s="208"/>
      <c r="BR236" s="208"/>
      <c r="BS236" s="208"/>
      <c r="BT236" s="208"/>
      <c r="BU236" s="208"/>
      <c r="BV236" s="208"/>
      <c r="BW236" s="208"/>
      <c r="BX236" s="208"/>
      <c r="BY236" s="208"/>
      <c r="BZ236" s="208"/>
      <c r="CA236" s="208"/>
      <c r="CB236" s="208"/>
      <c r="CC236" s="208"/>
      <c r="CD236" s="208"/>
      <c r="CE236" s="208"/>
      <c r="CF236" s="208"/>
      <c r="CG236" s="208"/>
      <c r="CH236" s="208"/>
      <c r="CI236" s="208"/>
      <c r="CJ236" s="208"/>
      <c r="CK236" s="208"/>
      <c r="CL236" s="208"/>
      <c r="CM236" s="208"/>
      <c r="CN236" s="208"/>
      <c r="CO236" s="208"/>
      <c r="CP236" s="208"/>
      <c r="CQ236" s="208"/>
      <c r="CR236" s="208"/>
      <c r="CS236" s="208"/>
    </row>
    <row r="237" spans="36:97" x14ac:dyDescent="0.25">
      <c r="AJ237" s="208"/>
      <c r="AK237" s="208"/>
      <c r="AL237" s="208"/>
      <c r="AM237" s="208"/>
      <c r="AN237" s="208"/>
      <c r="AO237" s="208"/>
      <c r="AP237" s="208"/>
      <c r="AQ237" s="208"/>
      <c r="AR237" s="208"/>
      <c r="AS237" s="208"/>
      <c r="AT237" s="208"/>
      <c r="AU237" s="208"/>
      <c r="AV237" s="208"/>
      <c r="AW237" s="208"/>
      <c r="AX237" s="208"/>
      <c r="AY237" s="208"/>
      <c r="AZ237" s="208"/>
      <c r="BA237" s="208"/>
      <c r="BB237" s="208"/>
      <c r="BC237" s="208"/>
      <c r="BD237" s="208"/>
      <c r="BE237" s="208"/>
      <c r="BF237" s="208"/>
      <c r="BG237" s="208"/>
      <c r="BH237" s="208"/>
      <c r="BI237" s="208"/>
      <c r="BJ237" s="208"/>
      <c r="BK237" s="208"/>
      <c r="BL237" s="208"/>
      <c r="BM237" s="208"/>
      <c r="BN237" s="208"/>
      <c r="BO237" s="208"/>
      <c r="BP237" s="208"/>
      <c r="BQ237" s="208"/>
      <c r="BR237" s="208"/>
      <c r="BS237" s="208"/>
      <c r="BT237" s="208"/>
      <c r="BU237" s="208"/>
      <c r="BV237" s="208"/>
      <c r="BW237" s="208"/>
      <c r="BX237" s="208"/>
      <c r="BY237" s="208"/>
      <c r="BZ237" s="208"/>
      <c r="CA237" s="208"/>
      <c r="CB237" s="208"/>
      <c r="CC237" s="208"/>
      <c r="CD237" s="208"/>
      <c r="CE237" s="208"/>
      <c r="CF237" s="208"/>
      <c r="CG237" s="208"/>
      <c r="CH237" s="208"/>
      <c r="CI237" s="208"/>
      <c r="CJ237" s="208"/>
      <c r="CK237" s="208"/>
      <c r="CL237" s="208"/>
      <c r="CM237" s="208"/>
      <c r="CN237" s="208"/>
      <c r="CO237" s="208"/>
      <c r="CP237" s="208"/>
      <c r="CQ237" s="208"/>
      <c r="CR237" s="208"/>
      <c r="CS237" s="208"/>
    </row>
    <row r="238" spans="36:97" x14ac:dyDescent="0.25">
      <c r="AJ238" s="208"/>
      <c r="AK238" s="208"/>
      <c r="AL238" s="208"/>
      <c r="AM238" s="208"/>
      <c r="AN238" s="208"/>
      <c r="AO238" s="208"/>
      <c r="AP238" s="208"/>
      <c r="AQ238" s="208"/>
      <c r="AR238" s="208"/>
      <c r="AS238" s="208"/>
      <c r="AT238" s="208"/>
      <c r="AU238" s="208"/>
      <c r="AV238" s="208"/>
      <c r="AW238" s="208"/>
      <c r="AX238" s="208"/>
      <c r="AY238" s="208"/>
      <c r="AZ238" s="208"/>
      <c r="BA238" s="208"/>
      <c r="BB238" s="208"/>
      <c r="BC238" s="208"/>
      <c r="BD238" s="208"/>
      <c r="BE238" s="208"/>
      <c r="BF238" s="208"/>
      <c r="BG238" s="208"/>
      <c r="BH238" s="208"/>
      <c r="BI238" s="208"/>
      <c r="BJ238" s="208"/>
      <c r="BK238" s="208"/>
      <c r="BL238" s="208"/>
      <c r="BM238" s="208"/>
      <c r="BN238" s="208"/>
      <c r="BO238" s="208"/>
      <c r="BP238" s="208"/>
      <c r="BQ238" s="208"/>
      <c r="BR238" s="208"/>
      <c r="BS238" s="208"/>
      <c r="BT238" s="208"/>
      <c r="BU238" s="208"/>
      <c r="BV238" s="208"/>
      <c r="BW238" s="208"/>
      <c r="BX238" s="208"/>
      <c r="BY238" s="208"/>
      <c r="BZ238" s="208"/>
      <c r="CA238" s="208"/>
      <c r="CB238" s="208"/>
      <c r="CC238" s="208"/>
      <c r="CD238" s="208"/>
      <c r="CE238" s="208"/>
      <c r="CF238" s="208"/>
      <c r="CG238" s="208"/>
      <c r="CH238" s="208"/>
      <c r="CI238" s="208"/>
      <c r="CJ238" s="208"/>
      <c r="CK238" s="208"/>
      <c r="CL238" s="208"/>
      <c r="CM238" s="208"/>
      <c r="CN238" s="208"/>
      <c r="CO238" s="208"/>
      <c r="CP238" s="208"/>
      <c r="CQ238" s="208"/>
      <c r="CR238" s="208"/>
      <c r="CS238" s="208"/>
    </row>
    <row r="239" spans="36:97" x14ac:dyDescent="0.25">
      <c r="AJ239" s="208"/>
      <c r="AK239" s="208"/>
      <c r="AL239" s="208"/>
      <c r="AM239" s="208"/>
      <c r="AN239" s="208"/>
      <c r="AO239" s="208"/>
      <c r="AP239" s="208"/>
      <c r="AQ239" s="208"/>
      <c r="AR239" s="208"/>
      <c r="AS239" s="208"/>
      <c r="AT239" s="208"/>
      <c r="AU239" s="208"/>
      <c r="AV239" s="208"/>
      <c r="AW239" s="208"/>
      <c r="AX239" s="208"/>
      <c r="AY239" s="208"/>
      <c r="AZ239" s="208"/>
      <c r="BA239" s="208"/>
      <c r="BB239" s="208"/>
      <c r="BC239" s="208"/>
      <c r="BD239" s="208"/>
      <c r="BE239" s="208"/>
      <c r="BF239" s="208"/>
      <c r="BG239" s="208"/>
      <c r="BH239" s="208"/>
      <c r="BI239" s="208"/>
      <c r="BJ239" s="208"/>
      <c r="BK239" s="208"/>
      <c r="BL239" s="208"/>
      <c r="BM239" s="208"/>
      <c r="BN239" s="208"/>
      <c r="BO239" s="208"/>
      <c r="BP239" s="208"/>
      <c r="BQ239" s="208"/>
      <c r="BR239" s="208"/>
      <c r="BS239" s="208"/>
      <c r="BT239" s="208"/>
      <c r="BU239" s="208"/>
      <c r="BV239" s="208"/>
      <c r="BW239" s="208"/>
      <c r="BX239" s="208"/>
      <c r="BY239" s="208"/>
      <c r="BZ239" s="208"/>
      <c r="CA239" s="208"/>
      <c r="CB239" s="208"/>
      <c r="CC239" s="208"/>
      <c r="CD239" s="208"/>
      <c r="CE239" s="208"/>
      <c r="CF239" s="208"/>
      <c r="CG239" s="208"/>
      <c r="CH239" s="208"/>
      <c r="CI239" s="208"/>
      <c r="CJ239" s="208"/>
      <c r="CK239" s="208"/>
      <c r="CL239" s="208"/>
      <c r="CM239" s="208"/>
      <c r="CN239" s="208"/>
      <c r="CO239" s="208"/>
      <c r="CP239" s="208"/>
      <c r="CQ239" s="208"/>
      <c r="CR239" s="208"/>
      <c r="CS239" s="208"/>
    </row>
    <row r="240" spans="36:97" x14ac:dyDescent="0.25">
      <c r="AJ240" s="208"/>
      <c r="AK240" s="208"/>
      <c r="AL240" s="208"/>
      <c r="AM240" s="208"/>
      <c r="AN240" s="208"/>
      <c r="AO240" s="208"/>
      <c r="AP240" s="208"/>
      <c r="AQ240" s="208"/>
      <c r="AR240" s="208"/>
      <c r="AS240" s="208"/>
      <c r="AT240" s="208"/>
      <c r="AU240" s="208"/>
      <c r="AV240" s="208"/>
      <c r="AW240" s="208"/>
      <c r="AX240" s="208"/>
      <c r="AY240" s="208"/>
      <c r="AZ240" s="208"/>
      <c r="BA240" s="208"/>
      <c r="BB240" s="208"/>
      <c r="BC240" s="208"/>
      <c r="BD240" s="208"/>
      <c r="BE240" s="208"/>
      <c r="BF240" s="208"/>
      <c r="BG240" s="208"/>
      <c r="BH240" s="208"/>
      <c r="BI240" s="208"/>
      <c r="BJ240" s="208"/>
      <c r="BK240" s="208"/>
      <c r="BL240" s="208"/>
      <c r="BM240" s="208"/>
      <c r="BN240" s="208"/>
      <c r="BO240" s="208"/>
      <c r="BP240" s="208"/>
      <c r="BQ240" s="208"/>
      <c r="BR240" s="208"/>
      <c r="BS240" s="208"/>
      <c r="BT240" s="208"/>
      <c r="BU240" s="208"/>
      <c r="BV240" s="208"/>
      <c r="BW240" s="208"/>
      <c r="BX240" s="208"/>
      <c r="BY240" s="208"/>
      <c r="BZ240" s="208"/>
      <c r="CA240" s="208"/>
      <c r="CB240" s="208"/>
      <c r="CC240" s="208"/>
      <c r="CD240" s="208"/>
      <c r="CE240" s="208"/>
      <c r="CF240" s="208"/>
      <c r="CG240" s="208"/>
      <c r="CH240" s="208"/>
      <c r="CI240" s="208"/>
      <c r="CJ240" s="208"/>
      <c r="CK240" s="208"/>
      <c r="CL240" s="208"/>
      <c r="CM240" s="208"/>
      <c r="CN240" s="208"/>
      <c r="CO240" s="208"/>
      <c r="CP240" s="208"/>
      <c r="CQ240" s="208"/>
      <c r="CR240" s="208"/>
      <c r="CS240" s="208"/>
    </row>
    <row r="241" spans="36:97" x14ac:dyDescent="0.25">
      <c r="AJ241" s="208"/>
      <c r="AK241" s="208"/>
      <c r="AL241" s="208"/>
      <c r="AM241" s="208"/>
      <c r="AN241" s="208"/>
      <c r="AO241" s="208"/>
      <c r="AP241" s="208"/>
      <c r="AQ241" s="208"/>
      <c r="AR241" s="208"/>
      <c r="AS241" s="208"/>
      <c r="AT241" s="208"/>
      <c r="AU241" s="208"/>
      <c r="AV241" s="208"/>
      <c r="AW241" s="208"/>
      <c r="AX241" s="208"/>
      <c r="AY241" s="208"/>
      <c r="AZ241" s="208"/>
      <c r="BA241" s="208"/>
      <c r="BB241" s="208"/>
      <c r="BC241" s="208"/>
      <c r="BD241" s="208"/>
      <c r="BE241" s="208"/>
      <c r="BF241" s="208"/>
      <c r="BG241" s="208"/>
      <c r="BH241" s="208"/>
      <c r="BI241" s="208"/>
      <c r="BJ241" s="208"/>
      <c r="BK241" s="208"/>
      <c r="BL241" s="208"/>
      <c r="BM241" s="208"/>
      <c r="BN241" s="208"/>
      <c r="BO241" s="208"/>
      <c r="BP241" s="208"/>
      <c r="BQ241" s="208"/>
      <c r="BR241" s="208"/>
      <c r="BS241" s="208"/>
      <c r="BT241" s="208"/>
      <c r="BU241" s="208"/>
      <c r="BV241" s="208"/>
      <c r="BW241" s="208"/>
      <c r="BX241" s="208"/>
      <c r="BY241" s="208"/>
      <c r="BZ241" s="208"/>
      <c r="CA241" s="208"/>
      <c r="CB241" s="208"/>
      <c r="CC241" s="208"/>
      <c r="CD241" s="208"/>
      <c r="CE241" s="208"/>
      <c r="CF241" s="208"/>
      <c r="CG241" s="208"/>
      <c r="CH241" s="208"/>
      <c r="CI241" s="208"/>
      <c r="CJ241" s="208"/>
      <c r="CK241" s="208"/>
      <c r="CL241" s="208"/>
      <c r="CM241" s="208"/>
      <c r="CN241" s="208"/>
      <c r="CO241" s="208"/>
      <c r="CP241" s="208"/>
      <c r="CQ241" s="208"/>
      <c r="CR241" s="208"/>
      <c r="CS241" s="208"/>
    </row>
    <row r="242" spans="36:97" x14ac:dyDescent="0.25">
      <c r="AJ242" s="208"/>
      <c r="AK242" s="208"/>
      <c r="AL242" s="208"/>
      <c r="AM242" s="208"/>
      <c r="AN242" s="208"/>
      <c r="AO242" s="208"/>
      <c r="AP242" s="208"/>
      <c r="AQ242" s="208"/>
      <c r="AR242" s="208"/>
      <c r="AS242" s="208"/>
      <c r="AT242" s="208"/>
      <c r="AU242" s="208"/>
      <c r="AV242" s="208"/>
      <c r="AW242" s="208"/>
      <c r="AX242" s="208"/>
      <c r="AY242" s="208"/>
      <c r="AZ242" s="208"/>
      <c r="BA242" s="208"/>
      <c r="BB242" s="208"/>
      <c r="BC242" s="208"/>
      <c r="BD242" s="208"/>
      <c r="BE242" s="208"/>
      <c r="BF242" s="208"/>
      <c r="BG242" s="208"/>
      <c r="BH242" s="208"/>
      <c r="BI242" s="208"/>
      <c r="BJ242" s="208"/>
      <c r="BK242" s="208"/>
      <c r="BL242" s="208"/>
      <c r="BM242" s="208"/>
      <c r="BN242" s="208"/>
      <c r="BO242" s="208"/>
      <c r="BP242" s="208"/>
      <c r="BQ242" s="208"/>
      <c r="BR242" s="208"/>
      <c r="BS242" s="208"/>
      <c r="BT242" s="208"/>
      <c r="BU242" s="208"/>
      <c r="BV242" s="208"/>
      <c r="BW242" s="208"/>
      <c r="BX242" s="208"/>
      <c r="BY242" s="208"/>
      <c r="BZ242" s="208"/>
      <c r="CA242" s="208"/>
      <c r="CB242" s="208"/>
      <c r="CC242" s="208"/>
      <c r="CD242" s="208"/>
      <c r="CE242" s="208"/>
      <c r="CF242" s="208"/>
      <c r="CG242" s="208"/>
      <c r="CH242" s="208"/>
      <c r="CI242" s="208"/>
      <c r="CJ242" s="208"/>
      <c r="CK242" s="208"/>
      <c r="CL242" s="208"/>
      <c r="CM242" s="208"/>
      <c r="CN242" s="208"/>
      <c r="CO242" s="208"/>
      <c r="CP242" s="208"/>
      <c r="CQ242" s="208"/>
      <c r="CR242" s="208"/>
      <c r="CS242" s="208"/>
    </row>
    <row r="243" spans="36:97" x14ac:dyDescent="0.25">
      <c r="AJ243" s="208"/>
      <c r="AK243" s="208"/>
      <c r="AL243" s="208"/>
      <c r="AM243" s="208"/>
      <c r="AN243" s="208"/>
      <c r="AO243" s="208"/>
      <c r="AP243" s="208"/>
      <c r="AQ243" s="208"/>
      <c r="AR243" s="208"/>
      <c r="AS243" s="208"/>
      <c r="AT243" s="208"/>
      <c r="AU243" s="208"/>
      <c r="AV243" s="208"/>
      <c r="AW243" s="208"/>
      <c r="AX243" s="208"/>
      <c r="AY243" s="208"/>
      <c r="AZ243" s="208"/>
      <c r="BA243" s="208"/>
      <c r="BB243" s="208"/>
      <c r="BC243" s="208"/>
      <c r="BD243" s="208"/>
      <c r="BE243" s="208"/>
      <c r="BF243" s="208"/>
      <c r="BG243" s="208"/>
      <c r="BH243" s="208"/>
      <c r="BI243" s="208"/>
      <c r="BJ243" s="208"/>
      <c r="BK243" s="208"/>
      <c r="BL243" s="208"/>
      <c r="BM243" s="208"/>
      <c r="BN243" s="208"/>
      <c r="BO243" s="208"/>
      <c r="BP243" s="208"/>
      <c r="BQ243" s="208"/>
      <c r="BR243" s="208"/>
      <c r="BS243" s="208"/>
      <c r="BT243" s="208"/>
      <c r="BU243" s="208"/>
      <c r="BV243" s="208"/>
      <c r="BW243" s="208"/>
      <c r="BX243" s="208"/>
      <c r="BY243" s="208"/>
      <c r="BZ243" s="208"/>
      <c r="CA243" s="208"/>
      <c r="CB243" s="208"/>
      <c r="CC243" s="208"/>
      <c r="CD243" s="208"/>
      <c r="CE243" s="208"/>
      <c r="CF243" s="208"/>
      <c r="CG243" s="208"/>
      <c r="CH243" s="208"/>
      <c r="CI243" s="208"/>
      <c r="CJ243" s="208"/>
      <c r="CK243" s="208"/>
      <c r="CL243" s="208"/>
      <c r="CM243" s="208"/>
      <c r="CN243" s="208"/>
      <c r="CO243" s="208"/>
      <c r="CP243" s="208"/>
      <c r="CQ243" s="208"/>
      <c r="CR243" s="208"/>
      <c r="CS243" s="208"/>
    </row>
    <row r="244" spans="36:97" x14ac:dyDescent="0.25">
      <c r="AJ244" s="208"/>
      <c r="AK244" s="208"/>
      <c r="AL244" s="208"/>
      <c r="AM244" s="208"/>
      <c r="AN244" s="208"/>
      <c r="AO244" s="208"/>
      <c r="AP244" s="208"/>
      <c r="AQ244" s="208"/>
      <c r="AR244" s="208"/>
      <c r="AS244" s="208"/>
      <c r="AT244" s="208"/>
      <c r="AU244" s="208"/>
      <c r="AV244" s="208"/>
      <c r="AW244" s="208"/>
      <c r="AX244" s="208"/>
      <c r="AY244" s="208"/>
      <c r="AZ244" s="208"/>
      <c r="BA244" s="208"/>
      <c r="BB244" s="208"/>
      <c r="BC244" s="208"/>
      <c r="BD244" s="208"/>
      <c r="BE244" s="208"/>
      <c r="BF244" s="208"/>
      <c r="BG244" s="208"/>
      <c r="BH244" s="208"/>
      <c r="BI244" s="208"/>
      <c r="BJ244" s="208"/>
      <c r="BK244" s="208"/>
      <c r="BL244" s="208"/>
      <c r="BM244" s="208"/>
      <c r="BN244" s="208"/>
      <c r="BO244" s="208"/>
      <c r="BP244" s="208"/>
      <c r="BQ244" s="208"/>
      <c r="BR244" s="208"/>
      <c r="BS244" s="208"/>
      <c r="BT244" s="208"/>
      <c r="BU244" s="208"/>
      <c r="BV244" s="208"/>
      <c r="BW244" s="208"/>
      <c r="BX244" s="208"/>
      <c r="BY244" s="208"/>
      <c r="BZ244" s="208"/>
      <c r="CA244" s="208"/>
      <c r="CB244" s="208"/>
      <c r="CC244" s="208"/>
      <c r="CD244" s="208"/>
      <c r="CE244" s="208"/>
      <c r="CF244" s="208"/>
      <c r="CG244" s="208"/>
      <c r="CH244" s="208"/>
      <c r="CI244" s="208"/>
      <c r="CJ244" s="208"/>
      <c r="CK244" s="208"/>
      <c r="CL244" s="208"/>
      <c r="CM244" s="208"/>
      <c r="CN244" s="208"/>
      <c r="CO244" s="208"/>
      <c r="CP244" s="208"/>
      <c r="CQ244" s="208"/>
      <c r="CR244" s="208"/>
      <c r="CS244" s="208"/>
    </row>
    <row r="245" spans="36:97" x14ac:dyDescent="0.25">
      <c r="AJ245" s="208"/>
      <c r="AK245" s="208"/>
      <c r="AL245" s="208"/>
      <c r="AM245" s="208"/>
      <c r="AN245" s="208"/>
      <c r="AO245" s="208"/>
      <c r="AP245" s="208"/>
      <c r="AQ245" s="208"/>
      <c r="AR245" s="208"/>
      <c r="AS245" s="208"/>
      <c r="AT245" s="208"/>
      <c r="AU245" s="208"/>
      <c r="AV245" s="208"/>
      <c r="AW245" s="208"/>
      <c r="AX245" s="208"/>
      <c r="AY245" s="208"/>
      <c r="AZ245" s="208"/>
      <c r="BA245" s="208"/>
      <c r="BB245" s="208"/>
      <c r="BC245" s="208"/>
      <c r="BD245" s="208"/>
      <c r="BE245" s="208"/>
      <c r="BF245" s="208"/>
      <c r="BG245" s="208"/>
      <c r="BH245" s="208"/>
      <c r="BI245" s="208"/>
      <c r="BJ245" s="208"/>
      <c r="BK245" s="208"/>
      <c r="BL245" s="208"/>
      <c r="BM245" s="208"/>
      <c r="BN245" s="208"/>
      <c r="BO245" s="208"/>
      <c r="BP245" s="208"/>
      <c r="BQ245" s="208"/>
      <c r="BR245" s="208"/>
      <c r="BS245" s="208"/>
      <c r="BT245" s="208"/>
      <c r="BU245" s="208"/>
      <c r="BV245" s="208"/>
      <c r="BW245" s="208"/>
      <c r="BX245" s="208"/>
      <c r="BY245" s="208"/>
      <c r="BZ245" s="208"/>
      <c r="CA245" s="208"/>
      <c r="CB245" s="208"/>
      <c r="CC245" s="208"/>
      <c r="CD245" s="208"/>
      <c r="CE245" s="208"/>
      <c r="CF245" s="208"/>
      <c r="CG245" s="208"/>
      <c r="CH245" s="208"/>
      <c r="CI245" s="208"/>
      <c r="CJ245" s="208"/>
      <c r="CK245" s="208"/>
      <c r="CL245" s="208"/>
      <c r="CM245" s="208"/>
      <c r="CN245" s="208"/>
      <c r="CO245" s="208"/>
      <c r="CP245" s="208"/>
      <c r="CQ245" s="208"/>
      <c r="CR245" s="208"/>
      <c r="CS245" s="208"/>
    </row>
    <row r="246" spans="36:97" x14ac:dyDescent="0.25">
      <c r="AJ246" s="208"/>
      <c r="AK246" s="208"/>
      <c r="AL246" s="208"/>
      <c r="AM246" s="208"/>
      <c r="AN246" s="208"/>
      <c r="AO246" s="208"/>
      <c r="AP246" s="208"/>
      <c r="AQ246" s="208"/>
      <c r="AR246" s="208"/>
      <c r="AS246" s="208"/>
      <c r="AT246" s="208"/>
      <c r="AU246" s="208"/>
      <c r="AV246" s="208"/>
      <c r="AW246" s="208"/>
      <c r="AX246" s="208"/>
      <c r="AY246" s="208"/>
      <c r="AZ246" s="208"/>
      <c r="BA246" s="208"/>
      <c r="BB246" s="208"/>
      <c r="BC246" s="208"/>
      <c r="BD246" s="208"/>
      <c r="BE246" s="208"/>
      <c r="BF246" s="208"/>
      <c r="BG246" s="208"/>
      <c r="BH246" s="208"/>
      <c r="BI246" s="208"/>
      <c r="BJ246" s="208"/>
      <c r="BK246" s="208"/>
      <c r="BL246" s="208"/>
      <c r="BM246" s="208"/>
      <c r="BN246" s="208"/>
      <c r="BO246" s="208"/>
      <c r="BP246" s="208"/>
      <c r="BQ246" s="208"/>
      <c r="BR246" s="208"/>
      <c r="BS246" s="208"/>
      <c r="BT246" s="208"/>
      <c r="BU246" s="208"/>
      <c r="BV246" s="208"/>
      <c r="BW246" s="208"/>
      <c r="BX246" s="208"/>
      <c r="BY246" s="208"/>
      <c r="BZ246" s="208"/>
      <c r="CA246" s="208"/>
      <c r="CB246" s="208"/>
      <c r="CC246" s="208"/>
      <c r="CD246" s="208"/>
      <c r="CE246" s="208"/>
      <c r="CF246" s="208"/>
      <c r="CG246" s="208"/>
      <c r="CH246" s="208"/>
      <c r="CI246" s="208"/>
      <c r="CJ246" s="208"/>
      <c r="CK246" s="208"/>
      <c r="CL246" s="208"/>
      <c r="CM246" s="208"/>
      <c r="CN246" s="208"/>
      <c r="CO246" s="208"/>
      <c r="CP246" s="208"/>
      <c r="CQ246" s="208"/>
      <c r="CR246" s="208"/>
      <c r="CS246" s="208"/>
    </row>
    <row r="247" spans="36:97" x14ac:dyDescent="0.25">
      <c r="AJ247" s="208"/>
      <c r="AK247" s="208"/>
      <c r="AL247" s="208"/>
      <c r="AM247" s="208"/>
      <c r="AN247" s="208"/>
      <c r="AO247" s="208"/>
      <c r="AP247" s="208"/>
      <c r="AQ247" s="208"/>
      <c r="AR247" s="208"/>
      <c r="AS247" s="208"/>
      <c r="AT247" s="208"/>
      <c r="AU247" s="208"/>
      <c r="AV247" s="208"/>
      <c r="AW247" s="208"/>
      <c r="AX247" s="208"/>
      <c r="AY247" s="208"/>
      <c r="AZ247" s="208"/>
      <c r="BA247" s="208"/>
      <c r="BB247" s="208"/>
      <c r="BC247" s="208"/>
      <c r="BD247" s="208"/>
      <c r="BE247" s="208"/>
      <c r="BF247" s="208"/>
      <c r="BG247" s="208"/>
      <c r="BH247" s="208"/>
      <c r="BI247" s="208"/>
      <c r="BJ247" s="208"/>
      <c r="BK247" s="208"/>
      <c r="BL247" s="208"/>
      <c r="BM247" s="208"/>
      <c r="BN247" s="208"/>
      <c r="BO247" s="208"/>
      <c r="BP247" s="208"/>
      <c r="BQ247" s="208"/>
      <c r="BR247" s="208"/>
      <c r="BS247" s="208"/>
      <c r="BT247" s="208"/>
      <c r="BU247" s="208"/>
      <c r="BV247" s="208"/>
      <c r="BW247" s="208"/>
      <c r="BX247" s="208"/>
      <c r="BY247" s="208"/>
      <c r="BZ247" s="208"/>
      <c r="CA247" s="208"/>
      <c r="CB247" s="208"/>
      <c r="CC247" s="208"/>
      <c r="CD247" s="208"/>
      <c r="CE247" s="208"/>
      <c r="CF247" s="208"/>
      <c r="CG247" s="208"/>
      <c r="CH247" s="208"/>
      <c r="CI247" s="208"/>
      <c r="CJ247" s="208"/>
      <c r="CK247" s="208"/>
      <c r="CL247" s="208"/>
      <c r="CM247" s="208"/>
      <c r="CN247" s="208"/>
      <c r="CO247" s="208"/>
      <c r="CP247" s="208"/>
      <c r="CQ247" s="208"/>
      <c r="CR247" s="208"/>
      <c r="CS247" s="208"/>
    </row>
    <row r="248" spans="36:97" x14ac:dyDescent="0.25">
      <c r="AJ248" s="208"/>
      <c r="AK248" s="208"/>
      <c r="AL248" s="208"/>
      <c r="AM248" s="208"/>
      <c r="AN248" s="208"/>
      <c r="AO248" s="208"/>
      <c r="AP248" s="208"/>
      <c r="AQ248" s="208"/>
      <c r="AR248" s="208"/>
      <c r="AS248" s="208"/>
      <c r="AT248" s="208"/>
      <c r="AU248" s="208"/>
      <c r="AV248" s="208"/>
      <c r="AW248" s="208"/>
      <c r="AX248" s="208"/>
      <c r="AY248" s="208"/>
      <c r="AZ248" s="208"/>
      <c r="BA248" s="208"/>
      <c r="BB248" s="208"/>
      <c r="BC248" s="208"/>
      <c r="BD248" s="208"/>
      <c r="BE248" s="208"/>
      <c r="BF248" s="208"/>
      <c r="BG248" s="208"/>
      <c r="BH248" s="208"/>
      <c r="BI248" s="208"/>
      <c r="BJ248" s="208"/>
      <c r="BK248" s="208"/>
      <c r="BL248" s="208"/>
      <c r="BM248" s="208"/>
      <c r="BN248" s="208"/>
      <c r="BO248" s="208"/>
      <c r="BP248" s="208"/>
      <c r="BQ248" s="208"/>
      <c r="BR248" s="208"/>
      <c r="BS248" s="208"/>
      <c r="BT248" s="208"/>
      <c r="BU248" s="208"/>
      <c r="BV248" s="208"/>
      <c r="BW248" s="208"/>
      <c r="BX248" s="208"/>
      <c r="BY248" s="208"/>
      <c r="BZ248" s="208"/>
      <c r="CA248" s="208"/>
      <c r="CB248" s="208"/>
      <c r="CC248" s="208"/>
      <c r="CD248" s="208"/>
      <c r="CE248" s="208"/>
      <c r="CF248" s="208"/>
      <c r="CG248" s="208"/>
      <c r="CH248" s="208"/>
      <c r="CI248" s="208"/>
      <c r="CJ248" s="208"/>
      <c r="CK248" s="208"/>
      <c r="CL248" s="208"/>
      <c r="CM248" s="208"/>
      <c r="CN248" s="208"/>
      <c r="CO248" s="208"/>
      <c r="CP248" s="208"/>
      <c r="CQ248" s="208"/>
      <c r="CR248" s="208"/>
      <c r="CS248" s="208"/>
    </row>
    <row r="249" spans="36:97" x14ac:dyDescent="0.25">
      <c r="AJ249" s="208"/>
      <c r="AK249" s="208"/>
      <c r="AL249" s="208"/>
      <c r="AM249" s="208"/>
      <c r="AN249" s="208"/>
      <c r="AO249" s="208"/>
      <c r="AP249" s="208"/>
      <c r="AQ249" s="208"/>
      <c r="AR249" s="208"/>
      <c r="AS249" s="208"/>
      <c r="AT249" s="208"/>
      <c r="AU249" s="208"/>
      <c r="AV249" s="208"/>
      <c r="AW249" s="208"/>
      <c r="AX249" s="208"/>
      <c r="AY249" s="208"/>
      <c r="AZ249" s="208"/>
      <c r="BA249" s="208"/>
      <c r="BB249" s="208"/>
      <c r="BC249" s="208"/>
      <c r="BD249" s="208"/>
      <c r="BE249" s="208"/>
      <c r="BF249" s="208"/>
      <c r="BG249" s="208"/>
      <c r="BH249" s="208"/>
      <c r="BI249" s="208"/>
      <c r="BJ249" s="208"/>
      <c r="BK249" s="208"/>
      <c r="BL249" s="208"/>
      <c r="BM249" s="208"/>
      <c r="BN249" s="208"/>
      <c r="BO249" s="208"/>
      <c r="BP249" s="208"/>
      <c r="BQ249" s="208"/>
      <c r="BR249" s="208"/>
      <c r="BS249" s="208"/>
      <c r="BT249" s="208"/>
      <c r="BU249" s="208"/>
      <c r="BV249" s="208"/>
      <c r="BW249" s="208"/>
      <c r="BX249" s="208"/>
      <c r="BY249" s="208"/>
      <c r="BZ249" s="208"/>
      <c r="CA249" s="208"/>
      <c r="CB249" s="208"/>
      <c r="CC249" s="208"/>
      <c r="CD249" s="208"/>
      <c r="CE249" s="208"/>
      <c r="CF249" s="208"/>
      <c r="CG249" s="208"/>
      <c r="CH249" s="208"/>
      <c r="CI249" s="208"/>
      <c r="CJ249" s="208"/>
      <c r="CK249" s="208"/>
      <c r="CL249" s="208"/>
      <c r="CM249" s="208"/>
      <c r="CN249" s="208"/>
      <c r="CO249" s="208"/>
      <c r="CP249" s="208"/>
      <c r="CQ249" s="208"/>
      <c r="CR249" s="208"/>
      <c r="CS249" s="208"/>
    </row>
    <row r="250" spans="36:97" x14ac:dyDescent="0.25">
      <c r="AJ250" s="208"/>
      <c r="AK250" s="208"/>
      <c r="AL250" s="208"/>
      <c r="AM250" s="208"/>
      <c r="AN250" s="208"/>
      <c r="AO250" s="208"/>
      <c r="AP250" s="208"/>
      <c r="AQ250" s="208"/>
      <c r="AR250" s="208"/>
      <c r="AS250" s="208"/>
      <c r="AT250" s="208"/>
      <c r="AU250" s="208"/>
      <c r="AV250" s="208"/>
      <c r="AW250" s="208"/>
      <c r="AX250" s="208"/>
      <c r="AY250" s="208"/>
      <c r="AZ250" s="208"/>
      <c r="BA250" s="208"/>
      <c r="BB250" s="208"/>
      <c r="BC250" s="208"/>
      <c r="BD250" s="208"/>
      <c r="BE250" s="208"/>
      <c r="BF250" s="208"/>
      <c r="BG250" s="208"/>
      <c r="BH250" s="208"/>
      <c r="BI250" s="208"/>
      <c r="BJ250" s="208"/>
      <c r="BK250" s="208"/>
      <c r="BL250" s="208"/>
      <c r="BM250" s="208"/>
      <c r="BN250" s="208"/>
      <c r="BO250" s="208"/>
      <c r="BP250" s="208"/>
      <c r="BQ250" s="208"/>
      <c r="BR250" s="208"/>
      <c r="BS250" s="208"/>
      <c r="BT250" s="208"/>
      <c r="BU250" s="208"/>
      <c r="BV250" s="208"/>
      <c r="BW250" s="208"/>
      <c r="BX250" s="208"/>
      <c r="BY250" s="208"/>
      <c r="BZ250" s="208"/>
      <c r="CA250" s="208"/>
      <c r="CB250" s="208"/>
      <c r="CC250" s="208"/>
      <c r="CD250" s="208"/>
      <c r="CE250" s="208"/>
      <c r="CF250" s="208"/>
      <c r="CG250" s="208"/>
      <c r="CH250" s="208"/>
      <c r="CI250" s="208"/>
      <c r="CJ250" s="208"/>
      <c r="CK250" s="208"/>
      <c r="CL250" s="208"/>
      <c r="CM250" s="208"/>
      <c r="CN250" s="208"/>
      <c r="CO250" s="208"/>
      <c r="CP250" s="208"/>
      <c r="CQ250" s="208"/>
      <c r="CR250" s="208"/>
      <c r="CS250" s="208"/>
    </row>
    <row r="251" spans="36:97" x14ac:dyDescent="0.25">
      <c r="AJ251" s="208"/>
      <c r="AK251" s="208"/>
      <c r="AL251" s="208"/>
      <c r="AM251" s="208"/>
      <c r="AN251" s="208"/>
      <c r="AO251" s="208"/>
      <c r="AP251" s="208"/>
      <c r="AQ251" s="208"/>
      <c r="AR251" s="208"/>
      <c r="AS251" s="208"/>
      <c r="AT251" s="208"/>
      <c r="AU251" s="208"/>
      <c r="AV251" s="208"/>
      <c r="AW251" s="208"/>
      <c r="AX251" s="208"/>
      <c r="AY251" s="208"/>
      <c r="AZ251" s="208"/>
      <c r="BA251" s="208"/>
      <c r="BB251" s="208"/>
      <c r="BC251" s="208"/>
      <c r="BD251" s="208"/>
      <c r="BE251" s="208"/>
      <c r="BF251" s="208"/>
      <c r="BG251" s="208"/>
      <c r="BH251" s="208"/>
      <c r="BI251" s="208"/>
      <c r="BJ251" s="208"/>
      <c r="BK251" s="208"/>
      <c r="BL251" s="208"/>
      <c r="BM251" s="208"/>
      <c r="BN251" s="208"/>
      <c r="BO251" s="208"/>
      <c r="BP251" s="208"/>
      <c r="BQ251" s="208"/>
      <c r="BR251" s="208"/>
      <c r="BS251" s="208"/>
      <c r="BT251" s="208"/>
      <c r="BU251" s="208"/>
      <c r="BV251" s="208"/>
      <c r="BW251" s="208"/>
      <c r="BX251" s="208"/>
      <c r="BY251" s="208"/>
      <c r="BZ251" s="208"/>
      <c r="CA251" s="208"/>
      <c r="CB251" s="208"/>
      <c r="CC251" s="208"/>
      <c r="CD251" s="208"/>
      <c r="CE251" s="208"/>
      <c r="CF251" s="208"/>
      <c r="CG251" s="208"/>
      <c r="CH251" s="208"/>
      <c r="CI251" s="208"/>
      <c r="CJ251" s="208"/>
      <c r="CK251" s="208"/>
      <c r="CL251" s="208"/>
      <c r="CM251" s="208"/>
      <c r="CN251" s="208"/>
      <c r="CO251" s="208"/>
      <c r="CP251" s="208"/>
      <c r="CQ251" s="208"/>
      <c r="CR251" s="208"/>
      <c r="CS251" s="208"/>
    </row>
    <row r="252" spans="36:97" x14ac:dyDescent="0.25">
      <c r="AJ252" s="208"/>
      <c r="AK252" s="208"/>
      <c r="AL252" s="208"/>
      <c r="AM252" s="208"/>
      <c r="AN252" s="208"/>
      <c r="AO252" s="208"/>
      <c r="AP252" s="208"/>
      <c r="AQ252" s="208"/>
      <c r="AR252" s="208"/>
      <c r="AS252" s="208"/>
      <c r="AT252" s="208"/>
      <c r="AU252" s="208"/>
      <c r="AV252" s="208"/>
      <c r="AW252" s="208"/>
      <c r="AX252" s="208"/>
      <c r="AY252" s="208"/>
      <c r="AZ252" s="208"/>
      <c r="BA252" s="208"/>
      <c r="BB252" s="208"/>
      <c r="BC252" s="208"/>
      <c r="BD252" s="208"/>
      <c r="BE252" s="208"/>
      <c r="BF252" s="208"/>
      <c r="BG252" s="208"/>
      <c r="BH252" s="208"/>
      <c r="BI252" s="208"/>
      <c r="BJ252" s="208"/>
      <c r="BK252" s="208"/>
      <c r="BL252" s="208"/>
      <c r="BM252" s="208"/>
      <c r="BN252" s="208"/>
      <c r="BO252" s="208"/>
      <c r="BP252" s="208"/>
      <c r="BQ252" s="208"/>
      <c r="BR252" s="208"/>
      <c r="BS252" s="208"/>
      <c r="BT252" s="208"/>
      <c r="BU252" s="208"/>
      <c r="BV252" s="208"/>
      <c r="BW252" s="208"/>
      <c r="BX252" s="208"/>
      <c r="BY252" s="208"/>
      <c r="BZ252" s="208"/>
      <c r="CA252" s="208"/>
      <c r="CB252" s="208"/>
      <c r="CC252" s="208"/>
      <c r="CD252" s="208"/>
      <c r="CE252" s="208"/>
      <c r="CF252" s="208"/>
      <c r="CG252" s="208"/>
      <c r="CH252" s="208"/>
      <c r="CI252" s="208"/>
      <c r="CJ252" s="208"/>
      <c r="CK252" s="208"/>
      <c r="CL252" s="208"/>
      <c r="CM252" s="208"/>
      <c r="CN252" s="208"/>
      <c r="CO252" s="208"/>
      <c r="CP252" s="208"/>
      <c r="CQ252" s="208"/>
      <c r="CR252" s="208"/>
      <c r="CS252" s="208"/>
    </row>
    <row r="253" spans="36:97" x14ac:dyDescent="0.25">
      <c r="AJ253" s="208"/>
      <c r="AK253" s="208"/>
      <c r="AL253" s="208"/>
      <c r="AM253" s="208"/>
      <c r="AN253" s="208"/>
      <c r="AO253" s="208"/>
      <c r="AP253" s="208"/>
      <c r="AQ253" s="208"/>
      <c r="AR253" s="208"/>
      <c r="AS253" s="208"/>
      <c r="AT253" s="208"/>
      <c r="AU253" s="208"/>
      <c r="AV253" s="208"/>
      <c r="AW253" s="208"/>
      <c r="AX253" s="208"/>
      <c r="AY253" s="208"/>
      <c r="AZ253" s="208"/>
      <c r="BA253" s="208"/>
      <c r="BB253" s="208"/>
      <c r="BC253" s="208"/>
      <c r="BD253" s="208"/>
      <c r="BE253" s="208"/>
      <c r="BF253" s="208"/>
      <c r="BG253" s="208"/>
      <c r="BH253" s="208"/>
      <c r="BI253" s="208"/>
      <c r="BJ253" s="208"/>
      <c r="BK253" s="208"/>
      <c r="BL253" s="208"/>
      <c r="BM253" s="208"/>
      <c r="BN253" s="208"/>
      <c r="BO253" s="208"/>
      <c r="BP253" s="208"/>
      <c r="BQ253" s="208"/>
      <c r="BR253" s="208"/>
      <c r="BS253" s="208"/>
      <c r="BT253" s="208"/>
      <c r="BU253" s="208"/>
      <c r="BV253" s="208"/>
      <c r="BW253" s="208"/>
      <c r="BX253" s="208"/>
      <c r="BY253" s="208"/>
      <c r="BZ253" s="208"/>
      <c r="CA253" s="208"/>
      <c r="CB253" s="208"/>
      <c r="CC253" s="208"/>
      <c r="CD253" s="208"/>
      <c r="CE253" s="208"/>
      <c r="CF253" s="208"/>
      <c r="CG253" s="208"/>
      <c r="CH253" s="208"/>
      <c r="CI253" s="208"/>
      <c r="CJ253" s="208"/>
      <c r="CK253" s="208"/>
      <c r="CL253" s="208"/>
      <c r="CM253" s="208"/>
      <c r="CN253" s="208"/>
      <c r="CO253" s="208"/>
      <c r="CP253" s="208"/>
      <c r="CQ253" s="208"/>
      <c r="CR253" s="208"/>
      <c r="CS253" s="208"/>
    </row>
    <row r="254" spans="36:97" x14ac:dyDescent="0.25">
      <c r="AJ254" s="208"/>
      <c r="AK254" s="208"/>
      <c r="AL254" s="208"/>
      <c r="AM254" s="208"/>
      <c r="AN254" s="208"/>
      <c r="AO254" s="208"/>
      <c r="AP254" s="208"/>
      <c r="AQ254" s="208"/>
      <c r="AR254" s="208"/>
      <c r="AS254" s="208"/>
      <c r="AT254" s="208"/>
      <c r="AU254" s="208"/>
      <c r="AV254" s="208"/>
      <c r="AW254" s="208"/>
      <c r="AX254" s="208"/>
      <c r="AY254" s="208"/>
      <c r="AZ254" s="208"/>
      <c r="BA254" s="208"/>
      <c r="BB254" s="208"/>
      <c r="BC254" s="208"/>
      <c r="BD254" s="208"/>
      <c r="BE254" s="208"/>
      <c r="BF254" s="208"/>
      <c r="BG254" s="208"/>
      <c r="BH254" s="208"/>
      <c r="BI254" s="208"/>
      <c r="BJ254" s="208"/>
      <c r="BK254" s="208"/>
      <c r="BL254" s="208"/>
      <c r="BM254" s="208"/>
      <c r="BN254" s="208"/>
      <c r="BO254" s="208"/>
      <c r="BP254" s="208"/>
      <c r="BQ254" s="208"/>
      <c r="BR254" s="208"/>
      <c r="BS254" s="208"/>
      <c r="BT254" s="208"/>
      <c r="BU254" s="208"/>
      <c r="BV254" s="208"/>
      <c r="BW254" s="208"/>
      <c r="BX254" s="208"/>
      <c r="BY254" s="208"/>
      <c r="BZ254" s="208"/>
      <c r="CA254" s="208"/>
      <c r="CB254" s="208"/>
      <c r="CC254" s="208"/>
      <c r="CD254" s="208"/>
      <c r="CE254" s="208"/>
      <c r="CF254" s="208"/>
      <c r="CG254" s="208"/>
      <c r="CH254" s="208"/>
      <c r="CI254" s="208"/>
      <c r="CJ254" s="208"/>
      <c r="CK254" s="208"/>
      <c r="CL254" s="208"/>
      <c r="CM254" s="208"/>
      <c r="CN254" s="208"/>
      <c r="CO254" s="208"/>
      <c r="CP254" s="208"/>
      <c r="CQ254" s="208"/>
      <c r="CR254" s="208"/>
      <c r="CS254" s="208"/>
    </row>
    <row r="255" spans="36:97" x14ac:dyDescent="0.25">
      <c r="AJ255" s="208"/>
      <c r="AK255" s="208"/>
      <c r="AL255" s="208"/>
      <c r="AM255" s="208"/>
      <c r="AN255" s="208"/>
      <c r="AO255" s="208"/>
      <c r="AP255" s="208"/>
      <c r="AQ255" s="208"/>
      <c r="AR255" s="208"/>
      <c r="AS255" s="208"/>
      <c r="AT255" s="208"/>
      <c r="AU255" s="208"/>
      <c r="AV255" s="208"/>
      <c r="AW255" s="208"/>
      <c r="AX255" s="208"/>
      <c r="AY255" s="208"/>
      <c r="AZ255" s="208"/>
      <c r="BA255" s="208"/>
      <c r="BB255" s="208"/>
      <c r="BC255" s="208"/>
      <c r="BD255" s="208"/>
      <c r="BE255" s="208"/>
      <c r="BF255" s="208"/>
      <c r="BG255" s="208"/>
      <c r="BH255" s="208"/>
      <c r="BI255" s="208"/>
      <c r="BJ255" s="208"/>
      <c r="BK255" s="208"/>
      <c r="BL255" s="208"/>
      <c r="BM255" s="208"/>
      <c r="BN255" s="208"/>
      <c r="BO255" s="208"/>
      <c r="BP255" s="208"/>
      <c r="BQ255" s="208"/>
      <c r="BR255" s="208"/>
      <c r="BS255" s="208"/>
      <c r="BT255" s="208"/>
      <c r="BU255" s="208"/>
      <c r="BV255" s="208"/>
      <c r="BW255" s="208"/>
      <c r="BX255" s="208"/>
      <c r="BY255" s="208"/>
      <c r="BZ255" s="208"/>
      <c r="CA255" s="208"/>
      <c r="CB255" s="208"/>
      <c r="CC255" s="208"/>
      <c r="CD255" s="208"/>
      <c r="CE255" s="208"/>
      <c r="CF255" s="208"/>
      <c r="CG255" s="208"/>
      <c r="CH255" s="208"/>
      <c r="CI255" s="208"/>
      <c r="CJ255" s="208"/>
      <c r="CK255" s="208"/>
      <c r="CL255" s="208"/>
      <c r="CM255" s="208"/>
      <c r="CN255" s="208"/>
      <c r="CO255" s="208"/>
      <c r="CP255" s="208"/>
      <c r="CQ255" s="208"/>
      <c r="CR255" s="208"/>
      <c r="CS255" s="208"/>
    </row>
    <row r="256" spans="36:97" x14ac:dyDescent="0.25">
      <c r="AJ256" s="208"/>
      <c r="AK256" s="208"/>
      <c r="AL256" s="208"/>
      <c r="AM256" s="208"/>
      <c r="AN256" s="208"/>
      <c r="AO256" s="208"/>
      <c r="AP256" s="208"/>
      <c r="AQ256" s="208"/>
      <c r="AR256" s="208"/>
      <c r="AS256" s="208"/>
      <c r="AT256" s="208"/>
      <c r="AU256" s="208"/>
      <c r="AV256" s="208"/>
      <c r="AW256" s="208"/>
      <c r="AX256" s="208"/>
      <c r="AY256" s="208"/>
      <c r="AZ256" s="208"/>
      <c r="BA256" s="208"/>
      <c r="BB256" s="208"/>
      <c r="BC256" s="208"/>
      <c r="BD256" s="208"/>
      <c r="BE256" s="208"/>
      <c r="BF256" s="208"/>
      <c r="BG256" s="208"/>
      <c r="BH256" s="208"/>
      <c r="BI256" s="208"/>
      <c r="BJ256" s="208"/>
      <c r="BK256" s="208"/>
      <c r="BL256" s="208"/>
      <c r="BM256" s="208"/>
      <c r="BN256" s="208"/>
      <c r="BO256" s="208"/>
      <c r="BP256" s="208"/>
      <c r="BQ256" s="208"/>
      <c r="BR256" s="208"/>
      <c r="BS256" s="208"/>
      <c r="BT256" s="208"/>
      <c r="BU256" s="208"/>
      <c r="BV256" s="208"/>
      <c r="BW256" s="208"/>
      <c r="BX256" s="208"/>
      <c r="BY256" s="208"/>
      <c r="BZ256" s="208"/>
      <c r="CA256" s="208"/>
      <c r="CB256" s="208"/>
      <c r="CC256" s="208"/>
      <c r="CD256" s="208"/>
      <c r="CE256" s="208"/>
      <c r="CF256" s="208"/>
      <c r="CG256" s="208"/>
      <c r="CH256" s="208"/>
      <c r="CI256" s="208"/>
      <c r="CJ256" s="208"/>
      <c r="CK256" s="208"/>
      <c r="CL256" s="208"/>
      <c r="CM256" s="208"/>
      <c r="CN256" s="208"/>
      <c r="CO256" s="208"/>
      <c r="CP256" s="208"/>
      <c r="CQ256" s="208"/>
      <c r="CR256" s="208"/>
      <c r="CS256" s="208"/>
    </row>
    <row r="257" spans="36:97" x14ac:dyDescent="0.25">
      <c r="AJ257" s="208"/>
      <c r="AK257" s="208"/>
      <c r="AL257" s="208"/>
      <c r="AM257" s="208"/>
      <c r="AN257" s="208"/>
      <c r="AO257" s="208"/>
      <c r="AP257" s="208"/>
      <c r="AQ257" s="208"/>
      <c r="AR257" s="208"/>
      <c r="AS257" s="208"/>
      <c r="AT257" s="208"/>
      <c r="AU257" s="208"/>
      <c r="AV257" s="208"/>
      <c r="AW257" s="208"/>
      <c r="AX257" s="208"/>
      <c r="AY257" s="208"/>
      <c r="AZ257" s="208"/>
      <c r="BA257" s="208"/>
      <c r="BB257" s="208"/>
      <c r="BC257" s="208"/>
      <c r="BD257" s="208"/>
      <c r="BE257" s="208"/>
      <c r="BF257" s="208"/>
      <c r="BG257" s="208"/>
      <c r="BH257" s="208"/>
      <c r="BI257" s="208"/>
      <c r="BJ257" s="208"/>
      <c r="BK257" s="208"/>
      <c r="BL257" s="208"/>
      <c r="BM257" s="208"/>
      <c r="BN257" s="208"/>
      <c r="BO257" s="208"/>
      <c r="BP257" s="208"/>
      <c r="BQ257" s="208"/>
      <c r="BR257" s="208"/>
      <c r="BS257" s="208"/>
      <c r="BT257" s="208"/>
      <c r="BU257" s="208"/>
      <c r="BV257" s="208"/>
      <c r="BW257" s="208"/>
      <c r="BX257" s="208"/>
      <c r="BY257" s="208"/>
      <c r="BZ257" s="208"/>
      <c r="CA257" s="208"/>
      <c r="CB257" s="208"/>
      <c r="CC257" s="208"/>
      <c r="CD257" s="208"/>
      <c r="CE257" s="208"/>
      <c r="CF257" s="208"/>
      <c r="CG257" s="208"/>
      <c r="CH257" s="208"/>
      <c r="CI257" s="208"/>
      <c r="CJ257" s="208"/>
      <c r="CK257" s="208"/>
      <c r="CL257" s="208"/>
      <c r="CM257" s="208"/>
      <c r="CN257" s="208"/>
      <c r="CO257" s="208"/>
      <c r="CP257" s="208"/>
      <c r="CQ257" s="208"/>
      <c r="CR257" s="208"/>
      <c r="CS257" s="208"/>
    </row>
    <row r="258" spans="36:97" x14ac:dyDescent="0.25">
      <c r="AJ258" s="208"/>
      <c r="AK258" s="208"/>
      <c r="AL258" s="208"/>
      <c r="AM258" s="208"/>
      <c r="AN258" s="208"/>
      <c r="AO258" s="208"/>
      <c r="AP258" s="208"/>
      <c r="AQ258" s="208"/>
      <c r="AR258" s="208"/>
      <c r="AS258" s="208"/>
      <c r="AT258" s="208"/>
      <c r="AU258" s="208"/>
      <c r="AV258" s="208"/>
      <c r="AW258" s="208"/>
      <c r="AX258" s="208"/>
      <c r="AY258" s="208"/>
      <c r="AZ258" s="208"/>
      <c r="BA258" s="208"/>
      <c r="BB258" s="208"/>
      <c r="BC258" s="208"/>
      <c r="BD258" s="208"/>
      <c r="BE258" s="208"/>
      <c r="BF258" s="208"/>
      <c r="BG258" s="208"/>
      <c r="BH258" s="208"/>
      <c r="BI258" s="208"/>
      <c r="BJ258" s="208"/>
      <c r="BK258" s="208"/>
      <c r="BL258" s="208"/>
      <c r="BM258" s="208"/>
      <c r="BN258" s="208"/>
      <c r="BO258" s="208"/>
      <c r="BP258" s="208"/>
      <c r="BQ258" s="208"/>
      <c r="BR258" s="208"/>
      <c r="BS258" s="208"/>
      <c r="BT258" s="208"/>
      <c r="BU258" s="208"/>
      <c r="BV258" s="208"/>
      <c r="BW258" s="208"/>
      <c r="BX258" s="208"/>
      <c r="BY258" s="208"/>
      <c r="BZ258" s="208"/>
      <c r="CA258" s="208"/>
      <c r="CB258" s="208"/>
      <c r="CC258" s="208"/>
      <c r="CD258" s="208"/>
      <c r="CE258" s="208"/>
      <c r="CF258" s="208"/>
      <c r="CG258" s="208"/>
      <c r="CH258" s="208"/>
      <c r="CI258" s="208"/>
      <c r="CJ258" s="208"/>
      <c r="CK258" s="208"/>
      <c r="CL258" s="208"/>
      <c r="CM258" s="208"/>
      <c r="CN258" s="208"/>
      <c r="CO258" s="208"/>
      <c r="CP258" s="208"/>
      <c r="CQ258" s="208"/>
      <c r="CR258" s="208"/>
      <c r="CS258" s="208"/>
    </row>
    <row r="259" spans="36:97" x14ac:dyDescent="0.25">
      <c r="AJ259" s="208"/>
      <c r="AK259" s="208"/>
      <c r="AL259" s="208"/>
      <c r="AM259" s="208"/>
      <c r="AN259" s="208"/>
      <c r="AO259" s="208"/>
      <c r="AP259" s="208"/>
      <c r="AQ259" s="208"/>
      <c r="AR259" s="208"/>
      <c r="AS259" s="208"/>
      <c r="AT259" s="208"/>
      <c r="AU259" s="208"/>
      <c r="AV259" s="208"/>
      <c r="AW259" s="208"/>
      <c r="AX259" s="208"/>
      <c r="AY259" s="208"/>
      <c r="AZ259" s="208"/>
      <c r="BA259" s="208"/>
      <c r="BB259" s="208"/>
      <c r="BC259" s="208"/>
      <c r="BD259" s="208"/>
      <c r="BE259" s="208"/>
      <c r="BF259" s="208"/>
      <c r="BG259" s="208"/>
      <c r="BH259" s="208"/>
      <c r="BI259" s="208"/>
      <c r="BJ259" s="208"/>
      <c r="BK259" s="208"/>
      <c r="BL259" s="208"/>
      <c r="BM259" s="208"/>
      <c r="BN259" s="208"/>
      <c r="BO259" s="208"/>
      <c r="BP259" s="208"/>
      <c r="BQ259" s="208"/>
      <c r="BR259" s="208"/>
      <c r="BS259" s="208"/>
      <c r="BT259" s="208"/>
      <c r="BU259" s="208"/>
      <c r="BV259" s="208"/>
      <c r="BW259" s="208"/>
      <c r="BX259" s="208"/>
      <c r="BY259" s="208"/>
      <c r="BZ259" s="208"/>
      <c r="CA259" s="208"/>
      <c r="CB259" s="208"/>
      <c r="CC259" s="208"/>
      <c r="CD259" s="208"/>
      <c r="CE259" s="208"/>
      <c r="CF259" s="208"/>
      <c r="CG259" s="208"/>
      <c r="CH259" s="208"/>
      <c r="CI259" s="208"/>
      <c r="CJ259" s="208"/>
      <c r="CK259" s="208"/>
      <c r="CL259" s="208"/>
      <c r="CM259" s="208"/>
      <c r="CN259" s="208"/>
      <c r="CO259" s="208"/>
      <c r="CP259" s="208"/>
      <c r="CQ259" s="208"/>
      <c r="CR259" s="208"/>
      <c r="CS259" s="208"/>
    </row>
    <row r="260" spans="36:97" x14ac:dyDescent="0.25">
      <c r="AJ260" s="208"/>
      <c r="AK260" s="208"/>
      <c r="AL260" s="208"/>
      <c r="AM260" s="208"/>
      <c r="AN260" s="208"/>
      <c r="AO260" s="208"/>
      <c r="AP260" s="208"/>
      <c r="AQ260" s="208"/>
      <c r="AR260" s="208"/>
      <c r="AS260" s="208"/>
      <c r="AT260" s="208"/>
      <c r="AU260" s="208"/>
      <c r="AV260" s="208"/>
      <c r="AW260" s="208"/>
      <c r="AX260" s="208"/>
      <c r="AY260" s="208"/>
      <c r="AZ260" s="208"/>
      <c r="BA260" s="208"/>
      <c r="BB260" s="208"/>
      <c r="BC260" s="208"/>
      <c r="BD260" s="208"/>
      <c r="BE260" s="208"/>
      <c r="BF260" s="208"/>
      <c r="BG260" s="208"/>
      <c r="BH260" s="208"/>
      <c r="BI260" s="208"/>
      <c r="BJ260" s="208"/>
      <c r="BK260" s="208"/>
      <c r="BL260" s="208"/>
      <c r="BM260" s="208"/>
      <c r="BN260" s="208"/>
      <c r="BO260" s="208"/>
      <c r="BP260" s="208"/>
      <c r="BQ260" s="208"/>
      <c r="BR260" s="208"/>
      <c r="BS260" s="208"/>
      <c r="BT260" s="208"/>
      <c r="BU260" s="208"/>
      <c r="BV260" s="208"/>
      <c r="BW260" s="208"/>
      <c r="BX260" s="208"/>
      <c r="BY260" s="208"/>
      <c r="BZ260" s="208"/>
      <c r="CA260" s="208"/>
      <c r="CB260" s="208"/>
      <c r="CC260" s="208"/>
      <c r="CD260" s="208"/>
      <c r="CE260" s="208"/>
      <c r="CF260" s="208"/>
      <c r="CG260" s="208"/>
      <c r="CH260" s="208"/>
      <c r="CI260" s="208"/>
      <c r="CJ260" s="208"/>
      <c r="CK260" s="208"/>
      <c r="CL260" s="208"/>
      <c r="CM260" s="208"/>
      <c r="CN260" s="208"/>
      <c r="CO260" s="208"/>
      <c r="CP260" s="208"/>
      <c r="CQ260" s="208"/>
      <c r="CR260" s="208"/>
      <c r="CS260" s="208"/>
    </row>
    <row r="261" spans="36:97" x14ac:dyDescent="0.25">
      <c r="AJ261" s="208"/>
      <c r="AK261" s="208"/>
      <c r="AL261" s="208"/>
      <c r="AM261" s="208"/>
      <c r="AN261" s="208"/>
      <c r="AO261" s="208"/>
      <c r="AP261" s="208"/>
      <c r="AQ261" s="208"/>
      <c r="AR261" s="208"/>
      <c r="AS261" s="208"/>
      <c r="AT261" s="208"/>
      <c r="AU261" s="208"/>
      <c r="AV261" s="208"/>
      <c r="AW261" s="208"/>
      <c r="AX261" s="208"/>
      <c r="AY261" s="208"/>
      <c r="AZ261" s="208"/>
      <c r="BA261" s="208"/>
      <c r="BB261" s="208"/>
      <c r="BC261" s="208"/>
      <c r="BD261" s="208"/>
      <c r="BE261" s="208"/>
      <c r="BF261" s="208"/>
      <c r="BG261" s="208"/>
      <c r="BH261" s="208"/>
      <c r="BI261" s="208"/>
      <c r="BJ261" s="208"/>
      <c r="BK261" s="208"/>
      <c r="BL261" s="208"/>
      <c r="BM261" s="208"/>
      <c r="BN261" s="208"/>
      <c r="BO261" s="208"/>
      <c r="BP261" s="208"/>
      <c r="BQ261" s="208"/>
      <c r="BR261" s="208"/>
      <c r="BS261" s="208"/>
      <c r="BT261" s="208"/>
      <c r="BU261" s="208"/>
      <c r="BV261" s="208"/>
      <c r="BW261" s="208"/>
      <c r="BX261" s="208"/>
      <c r="BY261" s="208"/>
      <c r="BZ261" s="208"/>
      <c r="CA261" s="208"/>
      <c r="CB261" s="208"/>
      <c r="CC261" s="208"/>
      <c r="CD261" s="208"/>
      <c r="CE261" s="208"/>
      <c r="CF261" s="208"/>
      <c r="CG261" s="208"/>
      <c r="CH261" s="208"/>
      <c r="CI261" s="208"/>
      <c r="CJ261" s="208"/>
      <c r="CK261" s="208"/>
      <c r="CL261" s="208"/>
      <c r="CM261" s="208"/>
      <c r="CN261" s="208"/>
      <c r="CO261" s="208"/>
      <c r="CP261" s="208"/>
      <c r="CQ261" s="208"/>
      <c r="CR261" s="208"/>
      <c r="CS261" s="208"/>
    </row>
  </sheetData>
  <pageMargins left="0.7" right="0.7" top="0.75" bottom="0.75" header="0.3" footer="0.3"/>
  <pageSetup orientation="portrait" r:id="rId1"/>
  <ignoredErrors>
    <ignoredError sqref="C34:C37" unlockedFormula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4"/>
  </sheetPr>
  <dimension ref="A1:AO118"/>
  <sheetViews>
    <sheetView showGridLines="0" tabSelected="1" zoomScale="80" zoomScaleNormal="80" workbookViewId="0">
      <selection activeCell="G19" sqref="G19"/>
    </sheetView>
  </sheetViews>
  <sheetFormatPr defaultRowHeight="15.5" x14ac:dyDescent="0.35"/>
  <cols>
    <col min="1" max="1" width="5.69140625" customWidth="1"/>
    <col min="2" max="2" width="8.23046875" customWidth="1"/>
    <col min="3" max="3" width="13.61328125" style="28" bestFit="1" customWidth="1"/>
    <col min="4" max="4" width="17.3046875" style="28" bestFit="1" customWidth="1"/>
    <col min="5" max="5" width="5.61328125" bestFit="1" customWidth="1"/>
    <col min="6" max="6" width="13.84375" bestFit="1" customWidth="1"/>
    <col min="7" max="7" width="14.4609375" customWidth="1"/>
    <col min="8" max="37" width="13.69140625" customWidth="1"/>
    <col min="38" max="38" width="10.53515625" bestFit="1" customWidth="1"/>
    <col min="39" max="39" width="9" customWidth="1"/>
    <col min="40" max="40" width="12.69140625" bestFit="1" customWidth="1"/>
    <col min="41" max="41" width="17.84375" bestFit="1" customWidth="1"/>
    <col min="42" max="42" width="5.765625" bestFit="1" customWidth="1"/>
    <col min="43" max="43" width="11.69140625" bestFit="1" customWidth="1"/>
    <col min="44" max="73" width="10.3046875" bestFit="1" customWidth="1"/>
    <col min="74" max="74" width="11.3046875" bestFit="1" customWidth="1"/>
  </cols>
  <sheetData>
    <row r="1" spans="2:36" ht="18" x14ac:dyDescent="0.4">
      <c r="B1" s="3" t="str">
        <f ca="1">MID(CELL("filename",B2),FIND("]",CELL("filename",B2))+1,256)</f>
        <v>Calculation</v>
      </c>
    </row>
    <row r="2" spans="2:36" x14ac:dyDescent="0.35">
      <c r="B2" s="4" t="s">
        <v>48</v>
      </c>
      <c r="F2" s="30"/>
    </row>
    <row r="3" spans="2:36" x14ac:dyDescent="0.35">
      <c r="F3" s="174"/>
    </row>
    <row r="4" spans="2:36" ht="21" x14ac:dyDescent="0.5">
      <c r="B4" s="6" t="s">
        <v>52</v>
      </c>
      <c r="C4" s="29"/>
      <c r="D4" s="29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</row>
    <row r="5" spans="2:36" x14ac:dyDescent="0.35">
      <c r="F5" s="112"/>
    </row>
    <row r="6" spans="2:36" x14ac:dyDescent="0.35">
      <c r="B6" s="5" t="s">
        <v>36</v>
      </c>
      <c r="C6" s="27"/>
      <c r="D6" s="27"/>
      <c r="E6" s="11"/>
      <c r="F6" s="11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2:36" x14ac:dyDescent="0.35">
      <c r="B7" s="7" t="s">
        <v>14</v>
      </c>
      <c r="C7" s="10" t="s">
        <v>13</v>
      </c>
      <c r="D7" s="10"/>
      <c r="E7" s="8" t="s">
        <v>22</v>
      </c>
      <c r="F7" s="8" t="s">
        <v>38</v>
      </c>
      <c r="G7" s="13" t="str">
        <f>G$32</f>
        <v>FY 2019-20</v>
      </c>
      <c r="H7" s="13" t="str">
        <f t="shared" ref="H7:AJ7" si="0">H$32</f>
        <v>FY 2020-21</v>
      </c>
      <c r="I7" s="13" t="str">
        <f t="shared" si="0"/>
        <v>FY 2021-22</v>
      </c>
      <c r="J7" s="13" t="str">
        <f t="shared" si="0"/>
        <v>FY 2022-23</v>
      </c>
      <c r="K7" s="13" t="str">
        <f t="shared" si="0"/>
        <v>FY 2023-24</v>
      </c>
      <c r="L7" s="13" t="str">
        <f t="shared" si="0"/>
        <v>FY 2024-25</v>
      </c>
      <c r="M7" s="13" t="str">
        <f t="shared" si="0"/>
        <v>FY 2025-26</v>
      </c>
      <c r="N7" s="13" t="str">
        <f t="shared" si="0"/>
        <v>FY 2026-27</v>
      </c>
      <c r="O7" s="13" t="str">
        <f t="shared" si="0"/>
        <v>FY 2027-28</v>
      </c>
      <c r="P7" s="13" t="str">
        <f t="shared" si="0"/>
        <v>FY 2028-29</v>
      </c>
      <c r="Q7" s="13" t="str">
        <f t="shared" si="0"/>
        <v>FY 2029-30</v>
      </c>
      <c r="R7" s="13" t="str">
        <f t="shared" si="0"/>
        <v>FY 2030-31</v>
      </c>
      <c r="S7" s="13" t="str">
        <f t="shared" si="0"/>
        <v>FY 2031-32</v>
      </c>
      <c r="T7" s="13" t="str">
        <f t="shared" si="0"/>
        <v>FY 2032-33</v>
      </c>
      <c r="U7" s="13" t="str">
        <f t="shared" si="0"/>
        <v>FY 2033-34</v>
      </c>
      <c r="V7" s="13" t="str">
        <f t="shared" si="0"/>
        <v>FY 2034-35</v>
      </c>
      <c r="W7" s="13" t="str">
        <f t="shared" si="0"/>
        <v>FY 2035-36</v>
      </c>
      <c r="X7" s="13" t="str">
        <f t="shared" si="0"/>
        <v>FY 2036-37</v>
      </c>
      <c r="Y7" s="13" t="str">
        <f t="shared" si="0"/>
        <v>FY 2037-38</v>
      </c>
      <c r="Z7" s="13" t="str">
        <f t="shared" si="0"/>
        <v>FY 2038-39</v>
      </c>
      <c r="AA7" s="13" t="str">
        <f t="shared" si="0"/>
        <v>FY 2039-40</v>
      </c>
      <c r="AB7" s="13" t="str">
        <f t="shared" si="0"/>
        <v>FY 2040-41</v>
      </c>
      <c r="AC7" s="13" t="str">
        <f t="shared" si="0"/>
        <v>FY 2041-42</v>
      </c>
      <c r="AD7" s="13" t="str">
        <f t="shared" si="0"/>
        <v>FY 2042-43</v>
      </c>
      <c r="AE7" s="13" t="str">
        <f t="shared" si="0"/>
        <v>FY 2043-44</v>
      </c>
      <c r="AF7" s="13" t="str">
        <f t="shared" si="0"/>
        <v>FY 2044-45</v>
      </c>
      <c r="AG7" s="13" t="str">
        <f t="shared" si="0"/>
        <v>FY 2045-46</v>
      </c>
      <c r="AH7" s="13" t="str">
        <f t="shared" si="0"/>
        <v>FY 2046-47</v>
      </c>
      <c r="AI7" s="13" t="str">
        <f t="shared" si="0"/>
        <v>FY 2047-48</v>
      </c>
      <c r="AJ7" s="13" t="str">
        <f t="shared" si="0"/>
        <v>FY 2048-49</v>
      </c>
    </row>
    <row r="8" spans="2:36" x14ac:dyDescent="0.35">
      <c r="B8" s="9">
        <f>+'Option inputs'!$B$15</f>
        <v>1</v>
      </c>
      <c r="C8" s="14" t="str">
        <f>+'Option inputs'!$C$15</f>
        <v>Option 1A</v>
      </c>
      <c r="D8" s="25"/>
      <c r="E8" s="12" t="s">
        <v>35</v>
      </c>
      <c r="F8" s="22">
        <f t="shared" ref="F8:F11" si="1">NPV(DiscountRate_ACTIVE,G8:AJ8)/(1+DiscountRate_ACTIVE)^(FirstYear-BaseYear-2)</f>
        <v>188344788.98592159</v>
      </c>
      <c r="G8" s="21">
        <f t="shared" ref="G8:P11" si="2">SUMIF($C$69:$C$118,$C8,G$69:G$118)</f>
        <v>0</v>
      </c>
      <c r="H8" s="21">
        <f t="shared" si="2"/>
        <v>291.20253877292441</v>
      </c>
      <c r="I8" s="21">
        <f t="shared" si="2"/>
        <v>-229961792.76024377</v>
      </c>
      <c r="J8" s="21">
        <f t="shared" si="2"/>
        <v>176689716.87742177</v>
      </c>
      <c r="K8" s="21">
        <f t="shared" si="2"/>
        <v>-3888564.692598775</v>
      </c>
      <c r="L8" s="21">
        <f t="shared" si="2"/>
        <v>9606896.1447118558</v>
      </c>
      <c r="M8" s="21">
        <f t="shared" si="2"/>
        <v>9921579.8991420269</v>
      </c>
      <c r="N8" s="21">
        <f t="shared" si="2"/>
        <v>10060968.930663111</v>
      </c>
      <c r="O8" s="21">
        <f t="shared" si="2"/>
        <v>11919672.849982332</v>
      </c>
      <c r="P8" s="21">
        <f t="shared" si="2"/>
        <v>251216462.41757566</v>
      </c>
      <c r="Q8" s="21">
        <f t="shared" ref="Q8:Z11" si="3">SUMIF($C$69:$C$118,$C8,Q$69:Q$118)</f>
        <v>55003765.386095256</v>
      </c>
      <c r="R8" s="21">
        <f t="shared" si="3"/>
        <v>-15848023.13083625</v>
      </c>
      <c r="S8" s="21">
        <f t="shared" si="3"/>
        <v>49430845.651012093</v>
      </c>
      <c r="T8" s="21">
        <f t="shared" si="3"/>
        <v>-252112667.25502867</v>
      </c>
      <c r="U8" s="21">
        <f t="shared" si="3"/>
        <v>135000548.66249594</v>
      </c>
      <c r="V8" s="21">
        <f t="shared" si="3"/>
        <v>187269666.99101257</v>
      </c>
      <c r="W8" s="21">
        <f t="shared" si="3"/>
        <v>87610238.925958216</v>
      </c>
      <c r="X8" s="21">
        <f t="shared" si="3"/>
        <v>-305987749.14426738</v>
      </c>
      <c r="Y8" s="21">
        <f t="shared" si="3"/>
        <v>1538699.3362961132</v>
      </c>
      <c r="Z8" s="21">
        <f t="shared" si="3"/>
        <v>819152.11076378822</v>
      </c>
      <c r="AA8" s="21">
        <f t="shared" ref="AA8:AJ11" si="4">SUMIF($C$69:$C$118,$C8,AA$69:AA$118)</f>
        <v>115934599.55699602</v>
      </c>
      <c r="AB8" s="21">
        <f t="shared" si="4"/>
        <v>-77635376.001565978</v>
      </c>
      <c r="AC8" s="21">
        <f t="shared" si="4"/>
        <v>82246379.030126095</v>
      </c>
      <c r="AD8" s="21">
        <f t="shared" si="4"/>
        <v>28921827.098267797</v>
      </c>
      <c r="AE8" s="21">
        <f t="shared" si="4"/>
        <v>-33982942.679635078</v>
      </c>
      <c r="AF8" s="21">
        <f t="shared" si="4"/>
        <v>146132585.71614423</v>
      </c>
      <c r="AG8" s="21">
        <f t="shared" si="4"/>
        <v>0</v>
      </c>
      <c r="AH8" s="21">
        <f t="shared" si="4"/>
        <v>0</v>
      </c>
      <c r="AI8" s="21">
        <f t="shared" si="4"/>
        <v>0</v>
      </c>
      <c r="AJ8" s="21">
        <f t="shared" si="4"/>
        <v>0</v>
      </c>
    </row>
    <row r="9" spans="2:36" x14ac:dyDescent="0.35">
      <c r="B9" s="9">
        <f>+'Option inputs'!$B$16</f>
        <v>2</v>
      </c>
      <c r="C9" s="14" t="str">
        <f>+'Option inputs'!$C$16</f>
        <v>Option 1B</v>
      </c>
      <c r="D9" s="25"/>
      <c r="E9" s="12" t="s">
        <v>35</v>
      </c>
      <c r="F9" s="22">
        <f t="shared" si="1"/>
        <v>153906120.98581284</v>
      </c>
      <c r="G9" s="21">
        <f t="shared" si="2"/>
        <v>0</v>
      </c>
      <c r="H9" s="21">
        <f t="shared" si="2"/>
        <v>-571.98947137337245</v>
      </c>
      <c r="I9" s="21">
        <f t="shared" si="2"/>
        <v>-43248399.669571415</v>
      </c>
      <c r="J9" s="21">
        <f t="shared" si="2"/>
        <v>5519535.0826404002</v>
      </c>
      <c r="K9" s="21">
        <f t="shared" si="2"/>
        <v>3107166.486033272</v>
      </c>
      <c r="L9" s="21">
        <f t="shared" si="2"/>
        <v>6960491.8050294155</v>
      </c>
      <c r="M9" s="21">
        <f t="shared" si="2"/>
        <v>12199071.09595081</v>
      </c>
      <c r="N9" s="21">
        <f t="shared" si="2"/>
        <v>12731255.835861914</v>
      </c>
      <c r="O9" s="21">
        <f t="shared" si="2"/>
        <v>12012025.826983511</v>
      </c>
      <c r="P9" s="21">
        <f t="shared" si="2"/>
        <v>161381888.12217879</v>
      </c>
      <c r="Q9" s="21">
        <f t="shared" si="3"/>
        <v>642614.92779931938</v>
      </c>
      <c r="R9" s="21">
        <f t="shared" si="3"/>
        <v>-4268283.0216509942</v>
      </c>
      <c r="S9" s="21">
        <f t="shared" si="3"/>
        <v>-30785504.728122681</v>
      </c>
      <c r="T9" s="21">
        <f t="shared" si="3"/>
        <v>-203984156.82302317</v>
      </c>
      <c r="U9" s="21">
        <f t="shared" si="3"/>
        <v>231554381.37522736</v>
      </c>
      <c r="V9" s="21">
        <f t="shared" si="3"/>
        <v>4842523.5399898849</v>
      </c>
      <c r="W9" s="21">
        <f t="shared" si="3"/>
        <v>181396527.64606842</v>
      </c>
      <c r="X9" s="21">
        <f t="shared" si="3"/>
        <v>-114417107.14469862</v>
      </c>
      <c r="Y9" s="21">
        <f t="shared" si="3"/>
        <v>-5216992.4939563759</v>
      </c>
      <c r="Z9" s="21">
        <f t="shared" si="3"/>
        <v>18996618.397158187</v>
      </c>
      <c r="AA9" s="21">
        <f t="shared" si="4"/>
        <v>-1623228.1074004676</v>
      </c>
      <c r="AB9" s="21">
        <f t="shared" si="4"/>
        <v>25864909.98009228</v>
      </c>
      <c r="AC9" s="21">
        <f t="shared" si="4"/>
        <v>18633969.840056524</v>
      </c>
      <c r="AD9" s="21">
        <f t="shared" si="4"/>
        <v>4180422.8145397883</v>
      </c>
      <c r="AE9" s="21">
        <f t="shared" si="4"/>
        <v>-17680493.604702309</v>
      </c>
      <c r="AF9" s="21">
        <f t="shared" si="4"/>
        <v>66218471.526567601</v>
      </c>
      <c r="AG9" s="21">
        <f t="shared" si="4"/>
        <v>0</v>
      </c>
      <c r="AH9" s="21">
        <f t="shared" si="4"/>
        <v>0</v>
      </c>
      <c r="AI9" s="21">
        <f t="shared" si="4"/>
        <v>0</v>
      </c>
      <c r="AJ9" s="21">
        <f t="shared" si="4"/>
        <v>0</v>
      </c>
    </row>
    <row r="10" spans="2:36" x14ac:dyDescent="0.35">
      <c r="B10" s="9">
        <f>+'Option inputs'!$B$17</f>
        <v>3</v>
      </c>
      <c r="C10" s="14" t="str">
        <f>+'Option inputs'!$C$17</f>
        <v>Option 1C</v>
      </c>
      <c r="D10" s="25"/>
      <c r="E10" s="12" t="s">
        <v>35</v>
      </c>
      <c r="F10" s="22">
        <f t="shared" si="1"/>
        <v>-23792159.192626644</v>
      </c>
      <c r="G10" s="21">
        <f t="shared" si="2"/>
        <v>0</v>
      </c>
      <c r="H10" s="21">
        <f t="shared" si="2"/>
        <v>250.41467671084752</v>
      </c>
      <c r="I10" s="21">
        <f t="shared" si="2"/>
        <v>-186699787.1342636</v>
      </c>
      <c r="J10" s="21">
        <f t="shared" si="2"/>
        <v>79934520.432753325</v>
      </c>
      <c r="K10" s="21">
        <f t="shared" si="2"/>
        <v>32146571.724564802</v>
      </c>
      <c r="L10" s="21">
        <f t="shared" si="2"/>
        <v>10658023.532738116</v>
      </c>
      <c r="M10" s="21">
        <f t="shared" si="2"/>
        <v>-1289982.3197683</v>
      </c>
      <c r="N10" s="21">
        <f t="shared" si="2"/>
        <v>-2006975.0931116776</v>
      </c>
      <c r="O10" s="21">
        <f t="shared" si="2"/>
        <v>-190966.30583178252</v>
      </c>
      <c r="P10" s="21">
        <f t="shared" si="2"/>
        <v>69750093.434752285</v>
      </c>
      <c r="Q10" s="21">
        <f t="shared" si="3"/>
        <v>-45620112.996239103</v>
      </c>
      <c r="R10" s="21">
        <f t="shared" si="3"/>
        <v>-1220716.2689049346</v>
      </c>
      <c r="S10" s="21">
        <f t="shared" si="3"/>
        <v>157531236.83874965</v>
      </c>
      <c r="T10" s="21">
        <f t="shared" si="3"/>
        <v>-68341441.556234032</v>
      </c>
      <c r="U10" s="21">
        <f t="shared" si="3"/>
        <v>-58835843.219190672</v>
      </c>
      <c r="V10" s="21">
        <f t="shared" si="3"/>
        <v>186776360.71955237</v>
      </c>
      <c r="W10" s="21">
        <f t="shared" si="3"/>
        <v>-73593158.773459315</v>
      </c>
      <c r="X10" s="21">
        <f t="shared" si="3"/>
        <v>-210547697.74878752</v>
      </c>
      <c r="Y10" s="21">
        <f t="shared" si="3"/>
        <v>-14968043.549334094</v>
      </c>
      <c r="Z10" s="21">
        <f t="shared" si="3"/>
        <v>-4201279.0784430001</v>
      </c>
      <c r="AA10" s="21">
        <f t="shared" si="4"/>
        <v>171532076.19405782</v>
      </c>
      <c r="AB10" s="21">
        <f t="shared" si="4"/>
        <v>-113202290.52183516</v>
      </c>
      <c r="AC10" s="21">
        <f t="shared" si="4"/>
        <v>26253101.391036589</v>
      </c>
      <c r="AD10" s="21">
        <f t="shared" si="4"/>
        <v>12234337.590126285</v>
      </c>
      <c r="AE10" s="21">
        <f t="shared" si="4"/>
        <v>-18690477.213776574</v>
      </c>
      <c r="AF10" s="21">
        <f t="shared" si="4"/>
        <v>83478077.631729275</v>
      </c>
      <c r="AG10" s="21">
        <f t="shared" si="4"/>
        <v>0</v>
      </c>
      <c r="AH10" s="21">
        <f t="shared" si="4"/>
        <v>0</v>
      </c>
      <c r="AI10" s="21">
        <f t="shared" si="4"/>
        <v>0</v>
      </c>
      <c r="AJ10" s="21">
        <f t="shared" si="4"/>
        <v>0</v>
      </c>
    </row>
    <row r="11" spans="2:36" x14ac:dyDescent="0.35">
      <c r="B11" s="9">
        <f>+'Option inputs'!$B$18</f>
        <v>4</v>
      </c>
      <c r="C11" s="14" t="str">
        <f>+'Option inputs'!$C$18</f>
        <v>Option 1D</v>
      </c>
      <c r="D11" s="25"/>
      <c r="E11" s="12" t="s">
        <v>35</v>
      </c>
      <c r="F11" s="22">
        <f t="shared" si="1"/>
        <v>46203541.531039797</v>
      </c>
      <c r="G11" s="21">
        <f t="shared" si="2"/>
        <v>0</v>
      </c>
      <c r="H11" s="21">
        <f t="shared" si="2"/>
        <v>310.3364898319677</v>
      </c>
      <c r="I11" s="21">
        <f t="shared" si="2"/>
        <v>-59322539.092415549</v>
      </c>
      <c r="J11" s="21">
        <f t="shared" si="2"/>
        <v>75427910.336831138</v>
      </c>
      <c r="K11" s="21">
        <f t="shared" si="2"/>
        <v>32816585.832423426</v>
      </c>
      <c r="L11" s="21">
        <f t="shared" si="2"/>
        <v>7345451.7991392678</v>
      </c>
      <c r="M11" s="21">
        <f t="shared" si="2"/>
        <v>-667332.64488047233</v>
      </c>
      <c r="N11" s="21">
        <f t="shared" si="2"/>
        <v>-1458266.3416786939</v>
      </c>
      <c r="O11" s="21">
        <f t="shared" si="2"/>
        <v>-2668949.2525147861</v>
      </c>
      <c r="P11" s="21">
        <f t="shared" si="2"/>
        <v>50846024.388979763</v>
      </c>
      <c r="Q11" s="21">
        <f t="shared" si="3"/>
        <v>-69505116.483024314</v>
      </c>
      <c r="R11" s="21">
        <f t="shared" si="3"/>
        <v>898441.44880887424</v>
      </c>
      <c r="S11" s="21">
        <f t="shared" si="3"/>
        <v>100244218.94160467</v>
      </c>
      <c r="T11" s="21">
        <f t="shared" si="3"/>
        <v>-16121644.81733322</v>
      </c>
      <c r="U11" s="21">
        <f t="shared" si="3"/>
        <v>-16726862.343211584</v>
      </c>
      <c r="V11" s="21">
        <f t="shared" si="3"/>
        <v>10223168.482393691</v>
      </c>
      <c r="W11" s="21">
        <f t="shared" si="3"/>
        <v>22641192.782160595</v>
      </c>
      <c r="X11" s="21">
        <f t="shared" si="3"/>
        <v>-118584523.97503753</v>
      </c>
      <c r="Y11" s="21">
        <f t="shared" si="3"/>
        <v>-2679808.2379782819</v>
      </c>
      <c r="Z11" s="21">
        <f t="shared" si="3"/>
        <v>-3066859.6306411866</v>
      </c>
      <c r="AA11" s="21">
        <f t="shared" si="4"/>
        <v>49805139.06920743</v>
      </c>
      <c r="AB11" s="21">
        <f t="shared" si="4"/>
        <v>-48066614.343487114</v>
      </c>
      <c r="AC11" s="21">
        <f t="shared" si="4"/>
        <v>9524594.4289619979</v>
      </c>
      <c r="AD11" s="21">
        <f t="shared" si="4"/>
        <v>-2526777.0129908174</v>
      </c>
      <c r="AE11" s="21">
        <f t="shared" si="4"/>
        <v>2684167.1144752055</v>
      </c>
      <c r="AF11" s="21">
        <f t="shared" si="4"/>
        <v>28985607.541010167</v>
      </c>
      <c r="AG11" s="21">
        <f t="shared" si="4"/>
        <v>0</v>
      </c>
      <c r="AH11" s="21">
        <f t="shared" si="4"/>
        <v>0</v>
      </c>
      <c r="AI11" s="21">
        <f t="shared" si="4"/>
        <v>0</v>
      </c>
      <c r="AJ11" s="21">
        <f t="shared" si="4"/>
        <v>0</v>
      </c>
    </row>
    <row r="12" spans="2:36" x14ac:dyDescent="0.35">
      <c r="F12" s="178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</row>
    <row r="13" spans="2:36" x14ac:dyDescent="0.35">
      <c r="B13" s="5" t="s">
        <v>80</v>
      </c>
      <c r="C13" s="27"/>
      <c r="D13" s="27"/>
      <c r="E13" s="11"/>
      <c r="F13" s="11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</row>
    <row r="14" spans="2:36" x14ac:dyDescent="0.35">
      <c r="B14" s="7" t="s">
        <v>14</v>
      </c>
      <c r="C14" s="10" t="s">
        <v>13</v>
      </c>
      <c r="D14" s="10"/>
      <c r="E14" s="8" t="s">
        <v>22</v>
      </c>
      <c r="F14" s="8" t="s">
        <v>37</v>
      </c>
      <c r="G14" s="13" t="str">
        <f>G$32</f>
        <v>FY 2019-20</v>
      </c>
      <c r="H14" s="13" t="str">
        <f t="shared" ref="H14:AJ14" si="5">H$32</f>
        <v>FY 2020-21</v>
      </c>
      <c r="I14" s="13" t="str">
        <f t="shared" si="5"/>
        <v>FY 2021-22</v>
      </c>
      <c r="J14" s="13" t="str">
        <f t="shared" si="5"/>
        <v>FY 2022-23</v>
      </c>
      <c r="K14" s="13" t="str">
        <f t="shared" si="5"/>
        <v>FY 2023-24</v>
      </c>
      <c r="L14" s="13" t="str">
        <f t="shared" si="5"/>
        <v>FY 2024-25</v>
      </c>
      <c r="M14" s="13" t="str">
        <f t="shared" si="5"/>
        <v>FY 2025-26</v>
      </c>
      <c r="N14" s="13" t="str">
        <f t="shared" si="5"/>
        <v>FY 2026-27</v>
      </c>
      <c r="O14" s="13" t="str">
        <f t="shared" si="5"/>
        <v>FY 2027-28</v>
      </c>
      <c r="P14" s="13" t="str">
        <f t="shared" si="5"/>
        <v>FY 2028-29</v>
      </c>
      <c r="Q14" s="13" t="str">
        <f t="shared" si="5"/>
        <v>FY 2029-30</v>
      </c>
      <c r="R14" s="13" t="str">
        <f t="shared" si="5"/>
        <v>FY 2030-31</v>
      </c>
      <c r="S14" s="13" t="str">
        <f t="shared" si="5"/>
        <v>FY 2031-32</v>
      </c>
      <c r="T14" s="13" t="str">
        <f t="shared" si="5"/>
        <v>FY 2032-33</v>
      </c>
      <c r="U14" s="13" t="str">
        <f t="shared" si="5"/>
        <v>FY 2033-34</v>
      </c>
      <c r="V14" s="13" t="str">
        <f t="shared" si="5"/>
        <v>FY 2034-35</v>
      </c>
      <c r="W14" s="13" t="str">
        <f t="shared" si="5"/>
        <v>FY 2035-36</v>
      </c>
      <c r="X14" s="13" t="str">
        <f t="shared" si="5"/>
        <v>FY 2036-37</v>
      </c>
      <c r="Y14" s="13" t="str">
        <f t="shared" si="5"/>
        <v>FY 2037-38</v>
      </c>
      <c r="Z14" s="13" t="str">
        <f t="shared" si="5"/>
        <v>FY 2038-39</v>
      </c>
      <c r="AA14" s="13" t="str">
        <f t="shared" si="5"/>
        <v>FY 2039-40</v>
      </c>
      <c r="AB14" s="13" t="str">
        <f t="shared" si="5"/>
        <v>FY 2040-41</v>
      </c>
      <c r="AC14" s="13" t="str">
        <f t="shared" si="5"/>
        <v>FY 2041-42</v>
      </c>
      <c r="AD14" s="13" t="str">
        <f t="shared" si="5"/>
        <v>FY 2042-43</v>
      </c>
      <c r="AE14" s="13" t="str">
        <f t="shared" si="5"/>
        <v>FY 2043-44</v>
      </c>
      <c r="AF14" s="13" t="str">
        <f t="shared" si="5"/>
        <v>FY 2044-45</v>
      </c>
      <c r="AG14" s="13" t="str">
        <f t="shared" si="5"/>
        <v>FY 2045-46</v>
      </c>
      <c r="AH14" s="13" t="str">
        <f t="shared" si="5"/>
        <v>FY 2046-47</v>
      </c>
      <c r="AI14" s="13" t="str">
        <f t="shared" si="5"/>
        <v>FY 2047-48</v>
      </c>
      <c r="AJ14" s="13" t="str">
        <f t="shared" si="5"/>
        <v>FY 2048-49</v>
      </c>
    </row>
    <row r="15" spans="2:36" x14ac:dyDescent="0.35">
      <c r="B15" s="9">
        <f>+'Option inputs'!$B$15</f>
        <v>1</v>
      </c>
      <c r="C15" s="14" t="str">
        <f>+'Option inputs'!$C$15</f>
        <v>Option 1A</v>
      </c>
      <c r="D15" s="25"/>
      <c r="E15" s="12" t="s">
        <v>35</v>
      </c>
      <c r="F15" s="22">
        <f>NPV(DiscountRate_ACTIVE,G15:AJ15)/(1+DiscountRate_ACTIVE)^(FirstYear-BaseYear-2)/1.025</f>
        <v>401287852.81786966</v>
      </c>
      <c r="G15" s="21">
        <f t="shared" ref="G15:P18" si="6">SUMIF($C$85:$C$118,$C15,G$85:G$118)</f>
        <v>0</v>
      </c>
      <c r="H15" s="21">
        <f t="shared" si="6"/>
        <v>291.20253877292441</v>
      </c>
      <c r="I15" s="21">
        <f t="shared" si="6"/>
        <v>48207.23975623196</v>
      </c>
      <c r="J15" s="21">
        <f t="shared" si="6"/>
        <v>178989816.87742177</v>
      </c>
      <c r="K15" s="21">
        <f t="shared" si="6"/>
        <v>-1588464.692598775</v>
      </c>
      <c r="L15" s="21">
        <f t="shared" si="6"/>
        <v>11906996.144711856</v>
      </c>
      <c r="M15" s="21">
        <f t="shared" si="6"/>
        <v>12221679.899142029</v>
      </c>
      <c r="N15" s="21">
        <f t="shared" si="6"/>
        <v>12361068.930663111</v>
      </c>
      <c r="O15" s="21">
        <f t="shared" si="6"/>
        <v>14219772.849982332</v>
      </c>
      <c r="P15" s="21">
        <f t="shared" si="6"/>
        <v>253516562.41757566</v>
      </c>
      <c r="Q15" s="21">
        <f t="shared" ref="Q15:Z18" si="7">SUMIF($C$85:$C$118,$C15,Q$85:Q$118)</f>
        <v>57303865.386095256</v>
      </c>
      <c r="R15" s="21">
        <f t="shared" si="7"/>
        <v>-13547923.13083625</v>
      </c>
      <c r="S15" s="21">
        <f t="shared" si="7"/>
        <v>51730945.651012093</v>
      </c>
      <c r="T15" s="21">
        <f t="shared" si="7"/>
        <v>-249812567.25502867</v>
      </c>
      <c r="U15" s="21">
        <f t="shared" si="7"/>
        <v>137300648.66249594</v>
      </c>
      <c r="V15" s="21">
        <f t="shared" si="7"/>
        <v>189569766.99101257</v>
      </c>
      <c r="W15" s="21">
        <f t="shared" si="7"/>
        <v>89910338.925958216</v>
      </c>
      <c r="X15" s="21">
        <f t="shared" si="7"/>
        <v>-295287649.14426738</v>
      </c>
      <c r="Y15" s="21">
        <f t="shared" si="7"/>
        <v>3878799.3362961132</v>
      </c>
      <c r="Z15" s="21">
        <f t="shared" si="7"/>
        <v>3119252.1107637882</v>
      </c>
      <c r="AA15" s="21">
        <f t="shared" ref="AA15:AJ18" si="8">SUMIF($C$85:$C$118,$C15,AA$85:AA$118)</f>
        <v>118234699.55699602</v>
      </c>
      <c r="AB15" s="21">
        <f t="shared" si="8"/>
        <v>-75335276.001565978</v>
      </c>
      <c r="AC15" s="21">
        <f t="shared" si="8"/>
        <v>84546479.030126095</v>
      </c>
      <c r="AD15" s="21">
        <f t="shared" si="8"/>
        <v>31221927.098267797</v>
      </c>
      <c r="AE15" s="21">
        <f t="shared" si="8"/>
        <v>-31682842.679635081</v>
      </c>
      <c r="AF15" s="21">
        <f t="shared" si="8"/>
        <v>51233754.006617785</v>
      </c>
      <c r="AG15" s="21">
        <f t="shared" si="8"/>
        <v>0</v>
      </c>
      <c r="AH15" s="21">
        <f t="shared" si="8"/>
        <v>0</v>
      </c>
      <c r="AI15" s="21">
        <f t="shared" si="8"/>
        <v>0</v>
      </c>
      <c r="AJ15" s="21">
        <f t="shared" si="8"/>
        <v>0</v>
      </c>
    </row>
    <row r="16" spans="2:36" x14ac:dyDescent="0.35">
      <c r="B16" s="9">
        <f>+'Option inputs'!$B$16</f>
        <v>2</v>
      </c>
      <c r="C16" s="14" t="str">
        <f>+'Option inputs'!$C$16</f>
        <v>Option 1B</v>
      </c>
      <c r="D16" s="25"/>
      <c r="E16" s="12" t="s">
        <v>35</v>
      </c>
      <c r="F16" s="22">
        <f t="shared" ref="F16:F18" si="9">NPV(DiscountRate_ACTIVE,G16:AJ16)/(1+DiscountRate_ACTIVE)^(FirstYear-BaseYear-2)</f>
        <v>194173103.65350831</v>
      </c>
      <c r="G16" s="21">
        <f t="shared" si="6"/>
        <v>0</v>
      </c>
      <c r="H16" s="21">
        <f t="shared" si="6"/>
        <v>-571.98947137337245</v>
      </c>
      <c r="I16" s="21">
        <f t="shared" si="6"/>
        <v>42697.909815585292</v>
      </c>
      <c r="J16" s="21">
        <f t="shared" si="6"/>
        <v>5952446.0584342703</v>
      </c>
      <c r="K16" s="21">
        <f t="shared" si="6"/>
        <v>3540077.4618271422</v>
      </c>
      <c r="L16" s="21">
        <f t="shared" si="6"/>
        <v>7393402.7808232857</v>
      </c>
      <c r="M16" s="21">
        <f t="shared" si="6"/>
        <v>12631982.07174468</v>
      </c>
      <c r="N16" s="21">
        <f t="shared" si="6"/>
        <v>13164166.811655784</v>
      </c>
      <c r="O16" s="21">
        <f t="shared" si="6"/>
        <v>12444936.802777382</v>
      </c>
      <c r="P16" s="21">
        <f t="shared" si="6"/>
        <v>161814799.09797266</v>
      </c>
      <c r="Q16" s="21">
        <f t="shared" si="7"/>
        <v>1075525.9035931895</v>
      </c>
      <c r="R16" s="21">
        <f t="shared" si="7"/>
        <v>-3835372.045857124</v>
      </c>
      <c r="S16" s="21">
        <f t="shared" si="7"/>
        <v>-30352593.752328809</v>
      </c>
      <c r="T16" s="21">
        <f t="shared" si="7"/>
        <v>-203551245.8472293</v>
      </c>
      <c r="U16" s="21">
        <f t="shared" si="7"/>
        <v>231987292.35102123</v>
      </c>
      <c r="V16" s="21">
        <f t="shared" si="7"/>
        <v>5275434.5157837551</v>
      </c>
      <c r="W16" s="21">
        <f t="shared" si="7"/>
        <v>181829438.62186229</v>
      </c>
      <c r="X16" s="21">
        <f t="shared" si="7"/>
        <v>-113984196.16890475</v>
      </c>
      <c r="Y16" s="21">
        <f t="shared" si="7"/>
        <v>-4784081.5181625057</v>
      </c>
      <c r="Z16" s="21">
        <f t="shared" si="7"/>
        <v>19429529.372952055</v>
      </c>
      <c r="AA16" s="21">
        <f t="shared" si="8"/>
        <v>-1190317.1316065975</v>
      </c>
      <c r="AB16" s="21">
        <f t="shared" si="8"/>
        <v>26297820.955886148</v>
      </c>
      <c r="AC16" s="21">
        <f t="shared" si="8"/>
        <v>19066880.815850392</v>
      </c>
      <c r="AD16" s="21">
        <f t="shared" si="8"/>
        <v>4613333.7903336585</v>
      </c>
      <c r="AE16" s="21">
        <f t="shared" si="8"/>
        <v>-17247582.62890844</v>
      </c>
      <c r="AF16" s="21">
        <f t="shared" si="8"/>
        <v>44140011.761080228</v>
      </c>
      <c r="AG16" s="21">
        <f t="shared" si="8"/>
        <v>0</v>
      </c>
      <c r="AH16" s="21">
        <f t="shared" si="8"/>
        <v>0</v>
      </c>
      <c r="AI16" s="21">
        <f t="shared" si="8"/>
        <v>0</v>
      </c>
      <c r="AJ16" s="21">
        <f t="shared" si="8"/>
        <v>0</v>
      </c>
    </row>
    <row r="17" spans="2:36" x14ac:dyDescent="0.35">
      <c r="B17" s="9">
        <f>+'Option inputs'!$B$17</f>
        <v>3</v>
      </c>
      <c r="C17" s="14" t="str">
        <f>+'Option inputs'!$C$17</f>
        <v>Option 1C</v>
      </c>
      <c r="D17" s="25"/>
      <c r="E17" s="12" t="s">
        <v>35</v>
      </c>
      <c r="F17" s="22">
        <f t="shared" si="9"/>
        <v>158916118.29207268</v>
      </c>
      <c r="G17" s="21">
        <f t="shared" si="6"/>
        <v>0</v>
      </c>
      <c r="H17" s="21">
        <f t="shared" si="6"/>
        <v>250.41467671084752</v>
      </c>
      <c r="I17" s="21">
        <f t="shared" si="6"/>
        <v>19115.286349391783</v>
      </c>
      <c r="J17" s="21">
        <f t="shared" si="6"/>
        <v>81801709.456959441</v>
      </c>
      <c r="K17" s="21">
        <f t="shared" si="6"/>
        <v>34013760.74877093</v>
      </c>
      <c r="L17" s="21">
        <f t="shared" si="6"/>
        <v>12525212.556944245</v>
      </c>
      <c r="M17" s="21">
        <f t="shared" si="6"/>
        <v>577206.7044378299</v>
      </c>
      <c r="N17" s="21">
        <f t="shared" si="6"/>
        <v>-139786.06890554796</v>
      </c>
      <c r="O17" s="21">
        <f t="shared" si="6"/>
        <v>1676222.7183743475</v>
      </c>
      <c r="P17" s="21">
        <f t="shared" si="6"/>
        <v>71617282.458958417</v>
      </c>
      <c r="Q17" s="21">
        <f t="shared" si="7"/>
        <v>-43752923.972032972</v>
      </c>
      <c r="R17" s="21">
        <f t="shared" si="7"/>
        <v>646472.7553011952</v>
      </c>
      <c r="S17" s="21">
        <f t="shared" si="7"/>
        <v>159398425.86295578</v>
      </c>
      <c r="T17" s="21">
        <f t="shared" si="7"/>
        <v>-66474252.5320279</v>
      </c>
      <c r="U17" s="21">
        <f t="shared" si="7"/>
        <v>-56968654.19498454</v>
      </c>
      <c r="V17" s="21">
        <f t="shared" si="7"/>
        <v>188643549.7437585</v>
      </c>
      <c r="W17" s="21">
        <f t="shared" si="7"/>
        <v>-71725969.749253184</v>
      </c>
      <c r="X17" s="21">
        <f t="shared" si="7"/>
        <v>-200280508.72458139</v>
      </c>
      <c r="Y17" s="21">
        <f t="shared" si="7"/>
        <v>-13060854.525127966</v>
      </c>
      <c r="Z17" s="21">
        <f t="shared" si="7"/>
        <v>-2334090.0542368698</v>
      </c>
      <c r="AA17" s="21">
        <f t="shared" si="8"/>
        <v>173399265.21826392</v>
      </c>
      <c r="AB17" s="21">
        <f t="shared" si="8"/>
        <v>-111335101.49762903</v>
      </c>
      <c r="AC17" s="21">
        <f t="shared" si="8"/>
        <v>28120290.41524272</v>
      </c>
      <c r="AD17" s="21">
        <f t="shared" si="8"/>
        <v>14101526.614332415</v>
      </c>
      <c r="AE17" s="21">
        <f t="shared" si="8"/>
        <v>-16823288.189570442</v>
      </c>
      <c r="AF17" s="21">
        <f t="shared" si="8"/>
        <v>10657705.6876902</v>
      </c>
      <c r="AG17" s="21">
        <f t="shared" si="8"/>
        <v>0</v>
      </c>
      <c r="AH17" s="21">
        <f t="shared" si="8"/>
        <v>0</v>
      </c>
      <c r="AI17" s="21">
        <f t="shared" si="8"/>
        <v>0</v>
      </c>
      <c r="AJ17" s="21">
        <f t="shared" si="8"/>
        <v>0</v>
      </c>
    </row>
    <row r="18" spans="2:36" x14ac:dyDescent="0.35">
      <c r="B18" s="9">
        <f>+'Option inputs'!$B$18</f>
        <v>4</v>
      </c>
      <c r="C18" s="14" t="str">
        <f>+'Option inputs'!$C$18</f>
        <v>Option 1D</v>
      </c>
      <c r="D18" s="25"/>
      <c r="E18" s="12" t="s">
        <v>35</v>
      </c>
      <c r="F18" s="22">
        <f t="shared" si="9"/>
        <v>103195990.67399828</v>
      </c>
      <c r="G18" s="21">
        <f t="shared" si="6"/>
        <v>0</v>
      </c>
      <c r="H18" s="21">
        <f t="shared" si="6"/>
        <v>310.3364898319677</v>
      </c>
      <c r="I18" s="21">
        <f t="shared" si="6"/>
        <v>16095.151423322828</v>
      </c>
      <c r="J18" s="21">
        <f t="shared" si="6"/>
        <v>76021296.679269522</v>
      </c>
      <c r="K18" s="21">
        <f t="shared" si="6"/>
        <v>33409972.174861811</v>
      </c>
      <c r="L18" s="21">
        <f t="shared" si="6"/>
        <v>7938838.1415776573</v>
      </c>
      <c r="M18" s="21">
        <f t="shared" si="6"/>
        <v>-73946.302442083659</v>
      </c>
      <c r="N18" s="21">
        <f t="shared" si="6"/>
        <v>-864879.99924030527</v>
      </c>
      <c r="O18" s="21">
        <f t="shared" si="6"/>
        <v>-2075562.9100763975</v>
      </c>
      <c r="P18" s="21">
        <f t="shared" si="6"/>
        <v>51439410.731418148</v>
      </c>
      <c r="Q18" s="21">
        <f t="shared" si="7"/>
        <v>-68911730.140585914</v>
      </c>
      <c r="R18" s="21">
        <f t="shared" si="7"/>
        <v>1491827.7912472629</v>
      </c>
      <c r="S18" s="21">
        <f t="shared" si="7"/>
        <v>100837605.28404307</v>
      </c>
      <c r="T18" s="21">
        <f t="shared" si="7"/>
        <v>-15528258.474894831</v>
      </c>
      <c r="U18" s="21">
        <f t="shared" si="7"/>
        <v>-16133476.000773195</v>
      </c>
      <c r="V18" s="21">
        <f t="shared" si="7"/>
        <v>10816554.82483208</v>
      </c>
      <c r="W18" s="21">
        <f t="shared" si="7"/>
        <v>23234579.124598984</v>
      </c>
      <c r="X18" s="21">
        <f t="shared" si="7"/>
        <v>-117991137.63259915</v>
      </c>
      <c r="Y18" s="21">
        <f t="shared" si="7"/>
        <v>-2086421.8955398933</v>
      </c>
      <c r="Z18" s="21">
        <f t="shared" si="7"/>
        <v>-2473473.288202798</v>
      </c>
      <c r="AA18" s="21">
        <f t="shared" si="8"/>
        <v>50398525.411645815</v>
      </c>
      <c r="AB18" s="21">
        <f t="shared" si="8"/>
        <v>-47473228.001048721</v>
      </c>
      <c r="AC18" s="21">
        <f t="shared" si="8"/>
        <v>10117980.771400386</v>
      </c>
      <c r="AD18" s="21">
        <f t="shared" si="8"/>
        <v>-1933390.6705524288</v>
      </c>
      <c r="AE18" s="21">
        <f t="shared" si="8"/>
        <v>3277553.4569135942</v>
      </c>
      <c r="AF18" s="21">
        <f t="shared" si="8"/>
        <v>5843540.1859130133</v>
      </c>
      <c r="AG18" s="21">
        <f t="shared" si="8"/>
        <v>0</v>
      </c>
      <c r="AH18" s="21">
        <f t="shared" si="8"/>
        <v>0</v>
      </c>
      <c r="AI18" s="21">
        <f t="shared" si="8"/>
        <v>0</v>
      </c>
      <c r="AJ18" s="21">
        <f t="shared" si="8"/>
        <v>0</v>
      </c>
    </row>
    <row r="19" spans="2:36" x14ac:dyDescent="0.35"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</row>
    <row r="20" spans="2:36" x14ac:dyDescent="0.35">
      <c r="B20" s="5" t="s">
        <v>81</v>
      </c>
      <c r="C20" s="27"/>
      <c r="D20" s="27"/>
      <c r="E20" s="11"/>
      <c r="F20" s="11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</row>
    <row r="21" spans="2:36" x14ac:dyDescent="0.35">
      <c r="B21" s="7" t="s">
        <v>14</v>
      </c>
      <c r="C21" s="10" t="s">
        <v>13</v>
      </c>
      <c r="D21" s="10"/>
      <c r="E21" s="8" t="s">
        <v>22</v>
      </c>
      <c r="F21" s="8" t="s">
        <v>37</v>
      </c>
      <c r="G21" s="13" t="str">
        <f>G$32</f>
        <v>FY 2019-20</v>
      </c>
      <c r="H21" s="13" t="str">
        <f t="shared" ref="H21:AJ21" si="10">H$32</f>
        <v>FY 2020-21</v>
      </c>
      <c r="I21" s="13" t="str">
        <f t="shared" si="10"/>
        <v>FY 2021-22</v>
      </c>
      <c r="J21" s="13" t="str">
        <f t="shared" si="10"/>
        <v>FY 2022-23</v>
      </c>
      <c r="K21" s="13" t="str">
        <f t="shared" si="10"/>
        <v>FY 2023-24</v>
      </c>
      <c r="L21" s="13" t="str">
        <f t="shared" si="10"/>
        <v>FY 2024-25</v>
      </c>
      <c r="M21" s="13" t="str">
        <f t="shared" si="10"/>
        <v>FY 2025-26</v>
      </c>
      <c r="N21" s="13" t="str">
        <f t="shared" si="10"/>
        <v>FY 2026-27</v>
      </c>
      <c r="O21" s="13" t="str">
        <f t="shared" si="10"/>
        <v>FY 2027-28</v>
      </c>
      <c r="P21" s="13" t="str">
        <f t="shared" si="10"/>
        <v>FY 2028-29</v>
      </c>
      <c r="Q21" s="13" t="str">
        <f t="shared" si="10"/>
        <v>FY 2029-30</v>
      </c>
      <c r="R21" s="13" t="str">
        <f t="shared" si="10"/>
        <v>FY 2030-31</v>
      </c>
      <c r="S21" s="13" t="str">
        <f t="shared" si="10"/>
        <v>FY 2031-32</v>
      </c>
      <c r="T21" s="13" t="str">
        <f t="shared" si="10"/>
        <v>FY 2032-33</v>
      </c>
      <c r="U21" s="13" t="str">
        <f t="shared" si="10"/>
        <v>FY 2033-34</v>
      </c>
      <c r="V21" s="13" t="str">
        <f t="shared" si="10"/>
        <v>FY 2034-35</v>
      </c>
      <c r="W21" s="13" t="str">
        <f t="shared" si="10"/>
        <v>FY 2035-36</v>
      </c>
      <c r="X21" s="13" t="str">
        <f t="shared" si="10"/>
        <v>FY 2036-37</v>
      </c>
      <c r="Y21" s="13" t="str">
        <f t="shared" si="10"/>
        <v>FY 2037-38</v>
      </c>
      <c r="Z21" s="13" t="str">
        <f t="shared" si="10"/>
        <v>FY 2038-39</v>
      </c>
      <c r="AA21" s="13" t="str">
        <f t="shared" si="10"/>
        <v>FY 2039-40</v>
      </c>
      <c r="AB21" s="13" t="str">
        <f t="shared" si="10"/>
        <v>FY 2040-41</v>
      </c>
      <c r="AC21" s="13" t="str">
        <f t="shared" si="10"/>
        <v>FY 2041-42</v>
      </c>
      <c r="AD21" s="13" t="str">
        <f t="shared" si="10"/>
        <v>FY 2042-43</v>
      </c>
      <c r="AE21" s="13" t="str">
        <f t="shared" si="10"/>
        <v>FY 2043-44</v>
      </c>
      <c r="AF21" s="13" t="str">
        <f t="shared" si="10"/>
        <v>FY 2044-45</v>
      </c>
      <c r="AG21" s="13" t="str">
        <f t="shared" si="10"/>
        <v>FY 2045-46</v>
      </c>
      <c r="AH21" s="13" t="str">
        <f t="shared" si="10"/>
        <v>FY 2046-47</v>
      </c>
      <c r="AI21" s="13" t="str">
        <f t="shared" si="10"/>
        <v>FY 2047-48</v>
      </c>
      <c r="AJ21" s="13" t="str">
        <f t="shared" si="10"/>
        <v>FY 2048-49</v>
      </c>
    </row>
    <row r="22" spans="2:36" x14ac:dyDescent="0.35">
      <c r="B22" s="9">
        <f>+'Option inputs'!$B$15</f>
        <v>1</v>
      </c>
      <c r="C22" s="14" t="str">
        <f>+'Option inputs'!$C$15</f>
        <v>Option 1A</v>
      </c>
      <c r="D22" s="25"/>
      <c r="E22" s="12" t="s">
        <v>35</v>
      </c>
      <c r="F22" s="22">
        <f t="shared" ref="F22:F25" si="11">NPV(DiscountRate_ACTIVE,G22:AJ22)/(1+DiscountRate_ACTIVE)^(FirstYear-BaseYear-2)</f>
        <v>-222975260.15239489</v>
      </c>
      <c r="G22" s="21">
        <f t="shared" ref="G22:P25" si="12">SUMIF($C$69:$C$81,$C22,G$69:G$81)</f>
        <v>0</v>
      </c>
      <c r="H22" s="21">
        <f t="shared" si="12"/>
        <v>0</v>
      </c>
      <c r="I22" s="21">
        <f t="shared" si="12"/>
        <v>-230010000</v>
      </c>
      <c r="J22" s="21">
        <f t="shared" si="12"/>
        <v>-2300100</v>
      </c>
      <c r="K22" s="21">
        <f t="shared" si="12"/>
        <v>-2300100</v>
      </c>
      <c r="L22" s="21">
        <f t="shared" si="12"/>
        <v>-2300100</v>
      </c>
      <c r="M22" s="21">
        <f t="shared" si="12"/>
        <v>-2300100</v>
      </c>
      <c r="N22" s="21">
        <f t="shared" si="12"/>
        <v>-2300100</v>
      </c>
      <c r="O22" s="21">
        <f t="shared" si="12"/>
        <v>-2300100</v>
      </c>
      <c r="P22" s="21">
        <f t="shared" si="12"/>
        <v>-2300100</v>
      </c>
      <c r="Q22" s="21">
        <f t="shared" ref="Q22:Z25" si="13">SUMIF($C$69:$C$81,$C22,Q$69:Q$81)</f>
        <v>-2300100</v>
      </c>
      <c r="R22" s="21">
        <f t="shared" si="13"/>
        <v>-2300100</v>
      </c>
      <c r="S22" s="21">
        <f t="shared" si="13"/>
        <v>-2300100</v>
      </c>
      <c r="T22" s="21">
        <f t="shared" si="13"/>
        <v>-2300100</v>
      </c>
      <c r="U22" s="21">
        <f t="shared" si="13"/>
        <v>-2300100</v>
      </c>
      <c r="V22" s="21">
        <f t="shared" si="13"/>
        <v>-2300100</v>
      </c>
      <c r="W22" s="21">
        <f t="shared" si="13"/>
        <v>-2300100</v>
      </c>
      <c r="X22" s="21">
        <f t="shared" si="13"/>
        <v>-10700100</v>
      </c>
      <c r="Y22" s="21">
        <f t="shared" si="13"/>
        <v>-2340100</v>
      </c>
      <c r="Z22" s="21">
        <f t="shared" si="13"/>
        <v>-2300100</v>
      </c>
      <c r="AA22" s="21">
        <f t="shared" ref="AA22:AJ25" si="14">SUMIF($C$69:$C$81,$C22,AA$69:AA$81)</f>
        <v>-2300100</v>
      </c>
      <c r="AB22" s="21">
        <f t="shared" si="14"/>
        <v>-2300100</v>
      </c>
      <c r="AC22" s="21">
        <f t="shared" si="14"/>
        <v>-2300100</v>
      </c>
      <c r="AD22" s="21">
        <f t="shared" si="14"/>
        <v>-2300100</v>
      </c>
      <c r="AE22" s="21">
        <f t="shared" si="14"/>
        <v>-2300100</v>
      </c>
      <c r="AF22" s="21">
        <f t="shared" si="14"/>
        <v>94898831.709526449</v>
      </c>
      <c r="AG22" s="21">
        <f t="shared" si="14"/>
        <v>0</v>
      </c>
      <c r="AH22" s="21">
        <f t="shared" si="14"/>
        <v>0</v>
      </c>
      <c r="AI22" s="21">
        <f t="shared" si="14"/>
        <v>0</v>
      </c>
      <c r="AJ22" s="21">
        <f t="shared" si="14"/>
        <v>0</v>
      </c>
    </row>
    <row r="23" spans="2:36" x14ac:dyDescent="0.35">
      <c r="B23" s="9">
        <f>+'Option inputs'!$B$16</f>
        <v>2</v>
      </c>
      <c r="C23" s="14" t="str">
        <f>+'Option inputs'!$C$16</f>
        <v>Option 1B</v>
      </c>
      <c r="D23" s="25"/>
      <c r="E23" s="12" t="s">
        <v>35</v>
      </c>
      <c r="F23" s="22">
        <f t="shared" si="11"/>
        <v>-40266982.66769547</v>
      </c>
      <c r="G23" s="21">
        <f t="shared" si="12"/>
        <v>0</v>
      </c>
      <c r="H23" s="21">
        <f t="shared" si="12"/>
        <v>0</v>
      </c>
      <c r="I23" s="21">
        <f t="shared" si="12"/>
        <v>-43291097.579387002</v>
      </c>
      <c r="J23" s="21">
        <f t="shared" si="12"/>
        <v>-432910.97579387005</v>
      </c>
      <c r="K23" s="21">
        <f t="shared" si="12"/>
        <v>-432910.97579387005</v>
      </c>
      <c r="L23" s="21">
        <f t="shared" si="12"/>
        <v>-432910.97579387005</v>
      </c>
      <c r="M23" s="21">
        <f t="shared" si="12"/>
        <v>-432910.97579387005</v>
      </c>
      <c r="N23" s="21">
        <f t="shared" si="12"/>
        <v>-432910.97579387005</v>
      </c>
      <c r="O23" s="21">
        <f t="shared" si="12"/>
        <v>-432910.97579387005</v>
      </c>
      <c r="P23" s="21">
        <f t="shared" si="12"/>
        <v>-432910.97579387005</v>
      </c>
      <c r="Q23" s="21">
        <f t="shared" si="13"/>
        <v>-432910.97579387005</v>
      </c>
      <c r="R23" s="21">
        <f t="shared" si="13"/>
        <v>-432910.97579387005</v>
      </c>
      <c r="S23" s="21">
        <f t="shared" si="13"/>
        <v>-432910.97579387005</v>
      </c>
      <c r="T23" s="21">
        <f t="shared" si="13"/>
        <v>-432910.97579387005</v>
      </c>
      <c r="U23" s="21">
        <f t="shared" si="13"/>
        <v>-432910.97579387005</v>
      </c>
      <c r="V23" s="21">
        <f t="shared" si="13"/>
        <v>-432910.97579387005</v>
      </c>
      <c r="W23" s="21">
        <f t="shared" si="13"/>
        <v>-432910.97579387005</v>
      </c>
      <c r="X23" s="21">
        <f t="shared" si="13"/>
        <v>-432910.97579387005</v>
      </c>
      <c r="Y23" s="21">
        <f t="shared" si="13"/>
        <v>-432910.97579387005</v>
      </c>
      <c r="Z23" s="21">
        <f t="shared" si="13"/>
        <v>-432910.97579387005</v>
      </c>
      <c r="AA23" s="21">
        <f t="shared" si="14"/>
        <v>-432910.97579387005</v>
      </c>
      <c r="AB23" s="21">
        <f t="shared" si="14"/>
        <v>-432910.97579387005</v>
      </c>
      <c r="AC23" s="21">
        <f t="shared" si="14"/>
        <v>-432910.97579387005</v>
      </c>
      <c r="AD23" s="21">
        <f t="shared" si="14"/>
        <v>-432910.97579387005</v>
      </c>
      <c r="AE23" s="21">
        <f t="shared" si="14"/>
        <v>-432910.97579387005</v>
      </c>
      <c r="AF23" s="21">
        <f t="shared" si="14"/>
        <v>22078459.765487373</v>
      </c>
      <c r="AG23" s="21">
        <f t="shared" si="14"/>
        <v>0</v>
      </c>
      <c r="AH23" s="21">
        <f t="shared" si="14"/>
        <v>0</v>
      </c>
      <c r="AI23" s="21">
        <f t="shared" si="14"/>
        <v>0</v>
      </c>
      <c r="AJ23" s="21">
        <f t="shared" si="14"/>
        <v>0</v>
      </c>
    </row>
    <row r="24" spans="2:36" x14ac:dyDescent="0.35">
      <c r="B24" s="9">
        <f>+'Option inputs'!$B$17</f>
        <v>3</v>
      </c>
      <c r="C24" s="14" t="str">
        <f>+'Option inputs'!$C$17</f>
        <v>Option 1C</v>
      </c>
      <c r="D24" s="25"/>
      <c r="E24" s="12" t="s">
        <v>35</v>
      </c>
      <c r="F24" s="22">
        <f t="shared" si="11"/>
        <v>-182708277.48469934</v>
      </c>
      <c r="G24" s="21">
        <f t="shared" si="12"/>
        <v>0</v>
      </c>
      <c r="H24" s="21">
        <f t="shared" si="12"/>
        <v>0</v>
      </c>
      <c r="I24" s="21">
        <f t="shared" si="12"/>
        <v>-186718902.42061299</v>
      </c>
      <c r="J24" s="21">
        <f t="shared" si="12"/>
        <v>-1867189.0242061298</v>
      </c>
      <c r="K24" s="21">
        <f t="shared" si="12"/>
        <v>-1867189.0242061298</v>
      </c>
      <c r="L24" s="21">
        <f t="shared" si="12"/>
        <v>-1867189.0242061298</v>
      </c>
      <c r="M24" s="21">
        <f t="shared" si="12"/>
        <v>-1867189.0242061298</v>
      </c>
      <c r="N24" s="21">
        <f t="shared" si="12"/>
        <v>-1867189.0242061298</v>
      </c>
      <c r="O24" s="21">
        <f t="shared" si="12"/>
        <v>-1867189.0242061298</v>
      </c>
      <c r="P24" s="21">
        <f t="shared" si="12"/>
        <v>-1867189.0242061298</v>
      </c>
      <c r="Q24" s="21">
        <f t="shared" si="13"/>
        <v>-1867189.0242061298</v>
      </c>
      <c r="R24" s="21">
        <f t="shared" si="13"/>
        <v>-1867189.0242061298</v>
      </c>
      <c r="S24" s="21">
        <f t="shared" si="13"/>
        <v>-1867189.0242061298</v>
      </c>
      <c r="T24" s="21">
        <f t="shared" si="13"/>
        <v>-1867189.0242061298</v>
      </c>
      <c r="U24" s="21">
        <f t="shared" si="13"/>
        <v>-1867189.0242061298</v>
      </c>
      <c r="V24" s="21">
        <f t="shared" si="13"/>
        <v>-1867189.0242061298</v>
      </c>
      <c r="W24" s="21">
        <f t="shared" si="13"/>
        <v>-1867189.0242061298</v>
      </c>
      <c r="X24" s="21">
        <f t="shared" si="13"/>
        <v>-10267189.02420613</v>
      </c>
      <c r="Y24" s="21">
        <f t="shared" si="13"/>
        <v>-1907189.0242061298</v>
      </c>
      <c r="Z24" s="21">
        <f t="shared" si="13"/>
        <v>-1867189.0242061298</v>
      </c>
      <c r="AA24" s="21">
        <f t="shared" si="14"/>
        <v>-1867189.0242061298</v>
      </c>
      <c r="AB24" s="21">
        <f t="shared" si="14"/>
        <v>-1867189.0242061298</v>
      </c>
      <c r="AC24" s="21">
        <f t="shared" si="14"/>
        <v>-1867189.0242061298</v>
      </c>
      <c r="AD24" s="21">
        <f t="shared" si="14"/>
        <v>-1867189.0242061298</v>
      </c>
      <c r="AE24" s="21">
        <f t="shared" si="14"/>
        <v>-1867189.0242061298</v>
      </c>
      <c r="AF24" s="21">
        <f t="shared" si="14"/>
        <v>72820371.944039077</v>
      </c>
      <c r="AG24" s="21">
        <f t="shared" si="14"/>
        <v>0</v>
      </c>
      <c r="AH24" s="21">
        <f t="shared" si="14"/>
        <v>0</v>
      </c>
      <c r="AI24" s="21">
        <f t="shared" si="14"/>
        <v>0</v>
      </c>
      <c r="AJ24" s="21">
        <f t="shared" si="14"/>
        <v>0</v>
      </c>
    </row>
    <row r="25" spans="2:36" x14ac:dyDescent="0.35">
      <c r="B25" s="9">
        <f>+'Option inputs'!$B$18</f>
        <v>4</v>
      </c>
      <c r="C25" s="14" t="str">
        <f>+'Option inputs'!$C$18</f>
        <v>Option 1D</v>
      </c>
      <c r="D25" s="25"/>
      <c r="E25" s="12" t="s">
        <v>35</v>
      </c>
      <c r="F25" s="22">
        <f t="shared" si="11"/>
        <v>-56992449.142958507</v>
      </c>
      <c r="G25" s="21">
        <f t="shared" si="12"/>
        <v>0</v>
      </c>
      <c r="H25" s="21">
        <f t="shared" si="12"/>
        <v>0</v>
      </c>
      <c r="I25" s="21">
        <f t="shared" si="12"/>
        <v>-59338634.243838876</v>
      </c>
      <c r="J25" s="21">
        <f t="shared" si="12"/>
        <v>-593386.34243838873</v>
      </c>
      <c r="K25" s="21">
        <f t="shared" si="12"/>
        <v>-593386.34243838873</v>
      </c>
      <c r="L25" s="21">
        <f t="shared" si="12"/>
        <v>-593386.34243838873</v>
      </c>
      <c r="M25" s="21">
        <f t="shared" si="12"/>
        <v>-593386.34243838873</v>
      </c>
      <c r="N25" s="21">
        <f t="shared" si="12"/>
        <v>-593386.34243838873</v>
      </c>
      <c r="O25" s="21">
        <f t="shared" si="12"/>
        <v>-593386.34243838873</v>
      </c>
      <c r="P25" s="21">
        <f t="shared" si="12"/>
        <v>-593386.34243838873</v>
      </c>
      <c r="Q25" s="21">
        <f t="shared" si="13"/>
        <v>-593386.34243838873</v>
      </c>
      <c r="R25" s="21">
        <f t="shared" si="13"/>
        <v>-593386.34243838873</v>
      </c>
      <c r="S25" s="21">
        <f t="shared" si="13"/>
        <v>-593386.34243838873</v>
      </c>
      <c r="T25" s="21">
        <f t="shared" si="13"/>
        <v>-593386.34243838873</v>
      </c>
      <c r="U25" s="21">
        <f t="shared" si="13"/>
        <v>-593386.34243838873</v>
      </c>
      <c r="V25" s="21">
        <f t="shared" si="13"/>
        <v>-593386.34243838873</v>
      </c>
      <c r="W25" s="21">
        <f t="shared" si="13"/>
        <v>-593386.34243838873</v>
      </c>
      <c r="X25" s="21">
        <f t="shared" si="13"/>
        <v>-593386.34243838873</v>
      </c>
      <c r="Y25" s="21">
        <f t="shared" si="13"/>
        <v>-593386.34243838873</v>
      </c>
      <c r="Z25" s="21">
        <f t="shared" si="13"/>
        <v>-593386.34243838873</v>
      </c>
      <c r="AA25" s="21">
        <f t="shared" si="14"/>
        <v>-593386.34243838873</v>
      </c>
      <c r="AB25" s="21">
        <f t="shared" si="14"/>
        <v>-593386.34243838873</v>
      </c>
      <c r="AC25" s="21">
        <f t="shared" si="14"/>
        <v>-593386.34243838873</v>
      </c>
      <c r="AD25" s="21">
        <f t="shared" si="14"/>
        <v>-593386.34243838873</v>
      </c>
      <c r="AE25" s="21">
        <f t="shared" si="14"/>
        <v>-593386.34243838873</v>
      </c>
      <c r="AF25" s="21">
        <f t="shared" si="14"/>
        <v>23142067.355097156</v>
      </c>
      <c r="AG25" s="21">
        <f t="shared" si="14"/>
        <v>0</v>
      </c>
      <c r="AH25" s="21">
        <f t="shared" si="14"/>
        <v>0</v>
      </c>
      <c r="AI25" s="21">
        <f t="shared" si="14"/>
        <v>0</v>
      </c>
      <c r="AJ25" s="21">
        <f t="shared" si="14"/>
        <v>0</v>
      </c>
    </row>
    <row r="27" spans="2:36" ht="21" x14ac:dyDescent="0.5">
      <c r="B27" s="6" t="s">
        <v>50</v>
      </c>
      <c r="C27" s="29"/>
      <c r="D27" s="29"/>
      <c r="E27" s="6"/>
      <c r="F27" s="132"/>
      <c r="G27" s="132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</row>
    <row r="29" spans="2:36" x14ac:dyDescent="0.35">
      <c r="B29" s="65" t="s">
        <v>119</v>
      </c>
      <c r="C29" s="73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</row>
    <row r="30" spans="2:36" x14ac:dyDescent="0.35">
      <c r="B30" s="25" t="s">
        <v>124</v>
      </c>
      <c r="C30" s="25"/>
      <c r="D30" s="25"/>
      <c r="E30" s="25"/>
      <c r="F30" s="25"/>
      <c r="G30" s="154">
        <v>1</v>
      </c>
      <c r="H30" s="154">
        <f>G30+1</f>
        <v>2</v>
      </c>
      <c r="I30" s="154">
        <f t="shared" ref="I30:AJ30" si="15">H30+1</f>
        <v>3</v>
      </c>
      <c r="J30" s="154">
        <f t="shared" si="15"/>
        <v>4</v>
      </c>
      <c r="K30" s="154">
        <f t="shared" si="15"/>
        <v>5</v>
      </c>
      <c r="L30" s="154">
        <f t="shared" si="15"/>
        <v>6</v>
      </c>
      <c r="M30" s="154">
        <f t="shared" si="15"/>
        <v>7</v>
      </c>
      <c r="N30" s="154">
        <f t="shared" si="15"/>
        <v>8</v>
      </c>
      <c r="O30" s="154">
        <f t="shared" si="15"/>
        <v>9</v>
      </c>
      <c r="P30" s="154">
        <f t="shared" si="15"/>
        <v>10</v>
      </c>
      <c r="Q30" s="154">
        <f t="shared" si="15"/>
        <v>11</v>
      </c>
      <c r="R30" s="154">
        <f t="shared" si="15"/>
        <v>12</v>
      </c>
      <c r="S30" s="154">
        <f t="shared" si="15"/>
        <v>13</v>
      </c>
      <c r="T30" s="154">
        <f t="shared" si="15"/>
        <v>14</v>
      </c>
      <c r="U30" s="154">
        <f t="shared" si="15"/>
        <v>15</v>
      </c>
      <c r="V30" s="154">
        <f t="shared" si="15"/>
        <v>16</v>
      </c>
      <c r="W30" s="154">
        <f t="shared" si="15"/>
        <v>17</v>
      </c>
      <c r="X30" s="154">
        <f t="shared" si="15"/>
        <v>18</v>
      </c>
      <c r="Y30" s="154">
        <f t="shared" si="15"/>
        <v>19</v>
      </c>
      <c r="Z30" s="154">
        <f t="shared" si="15"/>
        <v>20</v>
      </c>
      <c r="AA30" s="154">
        <f t="shared" si="15"/>
        <v>21</v>
      </c>
      <c r="AB30" s="154">
        <f t="shared" si="15"/>
        <v>22</v>
      </c>
      <c r="AC30" s="154">
        <f t="shared" si="15"/>
        <v>23</v>
      </c>
      <c r="AD30" s="154">
        <f t="shared" si="15"/>
        <v>24</v>
      </c>
      <c r="AE30" s="154">
        <f t="shared" si="15"/>
        <v>25</v>
      </c>
      <c r="AF30" s="154">
        <f t="shared" si="15"/>
        <v>26</v>
      </c>
      <c r="AG30" s="154">
        <f t="shared" si="15"/>
        <v>27</v>
      </c>
      <c r="AH30" s="154">
        <f t="shared" si="15"/>
        <v>28</v>
      </c>
      <c r="AI30" s="154">
        <f t="shared" si="15"/>
        <v>29</v>
      </c>
      <c r="AJ30" s="154">
        <f t="shared" si="15"/>
        <v>30</v>
      </c>
    </row>
    <row r="31" spans="2:36" x14ac:dyDescent="0.35">
      <c r="B31" s="25" t="s">
        <v>125</v>
      </c>
      <c r="C31" s="25"/>
      <c r="D31" s="25"/>
      <c r="E31" s="25"/>
      <c r="F31" s="25"/>
      <c r="G31" s="154">
        <f t="shared" ref="G31:AJ31" si="16">IF(G30&gt;AnalysisPeriod,0,1)</f>
        <v>1</v>
      </c>
      <c r="H31" s="154">
        <f t="shared" si="16"/>
        <v>1</v>
      </c>
      <c r="I31" s="154">
        <f t="shared" si="16"/>
        <v>1</v>
      </c>
      <c r="J31" s="154">
        <f t="shared" si="16"/>
        <v>1</v>
      </c>
      <c r="K31" s="154">
        <f t="shared" si="16"/>
        <v>1</v>
      </c>
      <c r="L31" s="154">
        <f t="shared" si="16"/>
        <v>1</v>
      </c>
      <c r="M31" s="154">
        <f t="shared" si="16"/>
        <v>1</v>
      </c>
      <c r="N31" s="154">
        <f t="shared" si="16"/>
        <v>1</v>
      </c>
      <c r="O31" s="154">
        <f t="shared" si="16"/>
        <v>1</v>
      </c>
      <c r="P31" s="154">
        <f t="shared" si="16"/>
        <v>1</v>
      </c>
      <c r="Q31" s="154">
        <f t="shared" si="16"/>
        <v>1</v>
      </c>
      <c r="R31" s="154">
        <f t="shared" si="16"/>
        <v>1</v>
      </c>
      <c r="S31" s="154">
        <f t="shared" si="16"/>
        <v>1</v>
      </c>
      <c r="T31" s="154">
        <f t="shared" si="16"/>
        <v>1</v>
      </c>
      <c r="U31" s="154">
        <f t="shared" si="16"/>
        <v>1</v>
      </c>
      <c r="V31" s="154">
        <f t="shared" si="16"/>
        <v>1</v>
      </c>
      <c r="W31" s="154">
        <f t="shared" si="16"/>
        <v>1</v>
      </c>
      <c r="X31" s="154">
        <f t="shared" si="16"/>
        <v>1</v>
      </c>
      <c r="Y31" s="154">
        <f t="shared" si="16"/>
        <v>1</v>
      </c>
      <c r="Z31" s="154">
        <f t="shared" si="16"/>
        <v>1</v>
      </c>
      <c r="AA31" s="154">
        <f t="shared" si="16"/>
        <v>1</v>
      </c>
      <c r="AB31" s="154">
        <f t="shared" si="16"/>
        <v>1</v>
      </c>
      <c r="AC31" s="154">
        <f t="shared" si="16"/>
        <v>1</v>
      </c>
      <c r="AD31" s="154">
        <f t="shared" si="16"/>
        <v>1</v>
      </c>
      <c r="AE31" s="154">
        <f t="shared" si="16"/>
        <v>1</v>
      </c>
      <c r="AF31" s="154">
        <f t="shared" si="16"/>
        <v>1</v>
      </c>
      <c r="AG31" s="154">
        <f t="shared" si="16"/>
        <v>0</v>
      </c>
      <c r="AH31" s="154">
        <f t="shared" si="16"/>
        <v>0</v>
      </c>
      <c r="AI31" s="154">
        <f t="shared" si="16"/>
        <v>0</v>
      </c>
      <c r="AJ31" s="154">
        <f t="shared" si="16"/>
        <v>0</v>
      </c>
    </row>
    <row r="32" spans="2:36" x14ac:dyDescent="0.35">
      <c r="B32" s="25" t="s">
        <v>123</v>
      </c>
      <c r="C32" s="25"/>
      <c r="D32" s="25"/>
      <c r="E32" s="25"/>
      <c r="F32" s="25"/>
      <c r="G32" s="154" t="str">
        <f>"FY "&amp;G34-1&amp;"-"&amp;RIGHT(G34,2)</f>
        <v>FY 2019-20</v>
      </c>
      <c r="H32" s="154" t="str">
        <f t="shared" ref="H32:AF32" si="17">"FY "&amp;H34-1&amp;"-"&amp;RIGHT(H34,2)</f>
        <v>FY 2020-21</v>
      </c>
      <c r="I32" s="154" t="str">
        <f t="shared" si="17"/>
        <v>FY 2021-22</v>
      </c>
      <c r="J32" s="154" t="str">
        <f t="shared" si="17"/>
        <v>FY 2022-23</v>
      </c>
      <c r="K32" s="154" t="str">
        <f t="shared" si="17"/>
        <v>FY 2023-24</v>
      </c>
      <c r="L32" s="154" t="str">
        <f t="shared" si="17"/>
        <v>FY 2024-25</v>
      </c>
      <c r="M32" s="154" t="str">
        <f t="shared" si="17"/>
        <v>FY 2025-26</v>
      </c>
      <c r="N32" s="154" t="str">
        <f t="shared" si="17"/>
        <v>FY 2026-27</v>
      </c>
      <c r="O32" s="154" t="str">
        <f t="shared" si="17"/>
        <v>FY 2027-28</v>
      </c>
      <c r="P32" s="154" t="str">
        <f t="shared" si="17"/>
        <v>FY 2028-29</v>
      </c>
      <c r="Q32" s="154" t="str">
        <f t="shared" si="17"/>
        <v>FY 2029-30</v>
      </c>
      <c r="R32" s="154" t="str">
        <f t="shared" si="17"/>
        <v>FY 2030-31</v>
      </c>
      <c r="S32" s="154" t="str">
        <f t="shared" si="17"/>
        <v>FY 2031-32</v>
      </c>
      <c r="T32" s="154" t="str">
        <f t="shared" si="17"/>
        <v>FY 2032-33</v>
      </c>
      <c r="U32" s="154" t="str">
        <f t="shared" si="17"/>
        <v>FY 2033-34</v>
      </c>
      <c r="V32" s="154" t="str">
        <f t="shared" si="17"/>
        <v>FY 2034-35</v>
      </c>
      <c r="W32" s="154" t="str">
        <f t="shared" si="17"/>
        <v>FY 2035-36</v>
      </c>
      <c r="X32" s="154" t="str">
        <f t="shared" si="17"/>
        <v>FY 2036-37</v>
      </c>
      <c r="Y32" s="154" t="str">
        <f t="shared" si="17"/>
        <v>FY 2037-38</v>
      </c>
      <c r="Z32" s="154" t="str">
        <f t="shared" si="17"/>
        <v>FY 2038-39</v>
      </c>
      <c r="AA32" s="154" t="str">
        <f t="shared" si="17"/>
        <v>FY 2039-40</v>
      </c>
      <c r="AB32" s="154" t="str">
        <f t="shared" si="17"/>
        <v>FY 2040-41</v>
      </c>
      <c r="AC32" s="154" t="str">
        <f t="shared" si="17"/>
        <v>FY 2041-42</v>
      </c>
      <c r="AD32" s="154" t="str">
        <f t="shared" si="17"/>
        <v>FY 2042-43</v>
      </c>
      <c r="AE32" s="154" t="str">
        <f t="shared" si="17"/>
        <v>FY 2043-44</v>
      </c>
      <c r="AF32" s="154" t="str">
        <f t="shared" si="17"/>
        <v>FY 2044-45</v>
      </c>
      <c r="AG32" s="154" t="str">
        <f t="shared" ref="AG32" si="18">"FY "&amp;AG34-1&amp;"-"&amp;RIGHT(AG34,2)</f>
        <v>FY 2045-46</v>
      </c>
      <c r="AH32" s="154" t="str">
        <f t="shared" ref="AH32" si="19">"FY "&amp;AH34-1&amp;"-"&amp;RIGHT(AH34,2)</f>
        <v>FY 2046-47</v>
      </c>
      <c r="AI32" s="154" t="str">
        <f t="shared" ref="AI32" si="20">"FY "&amp;AI34-1&amp;"-"&amp;RIGHT(AI34,2)</f>
        <v>FY 2047-48</v>
      </c>
      <c r="AJ32" s="154" t="str">
        <f t="shared" ref="AJ32" si="21">"FY "&amp;AJ34-1&amp;"-"&amp;RIGHT(AJ34,2)</f>
        <v>FY 2048-49</v>
      </c>
    </row>
    <row r="33" spans="1:38" x14ac:dyDescent="0.35">
      <c r="B33" s="25" t="s">
        <v>122</v>
      </c>
      <c r="C33" s="25"/>
      <c r="D33" s="25"/>
      <c r="E33" s="25"/>
      <c r="F33" s="25"/>
      <c r="G33" s="154" t="str">
        <f>G34-1&amp;"-"&amp;RIGHT(G34,2)</f>
        <v>2019-20</v>
      </c>
      <c r="H33" s="154" t="str">
        <f t="shared" ref="H33:AJ33" si="22">H34-1&amp;"-"&amp;RIGHT(H34,2)</f>
        <v>2020-21</v>
      </c>
      <c r="I33" s="154" t="str">
        <f t="shared" si="22"/>
        <v>2021-22</v>
      </c>
      <c r="J33" s="154" t="str">
        <f t="shared" si="22"/>
        <v>2022-23</v>
      </c>
      <c r="K33" s="154" t="str">
        <f t="shared" si="22"/>
        <v>2023-24</v>
      </c>
      <c r="L33" s="154" t="str">
        <f t="shared" si="22"/>
        <v>2024-25</v>
      </c>
      <c r="M33" s="154" t="str">
        <f t="shared" si="22"/>
        <v>2025-26</v>
      </c>
      <c r="N33" s="154" t="str">
        <f t="shared" si="22"/>
        <v>2026-27</v>
      </c>
      <c r="O33" s="154" t="str">
        <f t="shared" si="22"/>
        <v>2027-28</v>
      </c>
      <c r="P33" s="154" t="str">
        <f t="shared" si="22"/>
        <v>2028-29</v>
      </c>
      <c r="Q33" s="154" t="str">
        <f t="shared" si="22"/>
        <v>2029-30</v>
      </c>
      <c r="R33" s="154" t="str">
        <f t="shared" si="22"/>
        <v>2030-31</v>
      </c>
      <c r="S33" s="154" t="str">
        <f t="shared" si="22"/>
        <v>2031-32</v>
      </c>
      <c r="T33" s="154" t="str">
        <f t="shared" si="22"/>
        <v>2032-33</v>
      </c>
      <c r="U33" s="154" t="str">
        <f t="shared" si="22"/>
        <v>2033-34</v>
      </c>
      <c r="V33" s="154" t="str">
        <f t="shared" si="22"/>
        <v>2034-35</v>
      </c>
      <c r="W33" s="154" t="str">
        <f t="shared" si="22"/>
        <v>2035-36</v>
      </c>
      <c r="X33" s="154" t="str">
        <f t="shared" si="22"/>
        <v>2036-37</v>
      </c>
      <c r="Y33" s="154" t="str">
        <f t="shared" si="22"/>
        <v>2037-38</v>
      </c>
      <c r="Z33" s="154" t="str">
        <f t="shared" si="22"/>
        <v>2038-39</v>
      </c>
      <c r="AA33" s="154" t="str">
        <f t="shared" si="22"/>
        <v>2039-40</v>
      </c>
      <c r="AB33" s="154" t="str">
        <f t="shared" si="22"/>
        <v>2040-41</v>
      </c>
      <c r="AC33" s="154" t="str">
        <f t="shared" si="22"/>
        <v>2041-42</v>
      </c>
      <c r="AD33" s="154" t="str">
        <f t="shared" si="22"/>
        <v>2042-43</v>
      </c>
      <c r="AE33" s="154" t="str">
        <f t="shared" si="22"/>
        <v>2043-44</v>
      </c>
      <c r="AF33" s="154" t="str">
        <f t="shared" si="22"/>
        <v>2044-45</v>
      </c>
      <c r="AG33" s="154" t="str">
        <f t="shared" si="22"/>
        <v>2045-46</v>
      </c>
      <c r="AH33" s="154" t="str">
        <f t="shared" si="22"/>
        <v>2046-47</v>
      </c>
      <c r="AI33" s="154" t="str">
        <f t="shared" si="22"/>
        <v>2047-48</v>
      </c>
      <c r="AJ33" s="154" t="str">
        <f t="shared" si="22"/>
        <v>2048-49</v>
      </c>
    </row>
    <row r="34" spans="1:38" x14ac:dyDescent="0.35">
      <c r="B34" s="25" t="s">
        <v>118</v>
      </c>
      <c r="C34" s="25"/>
      <c r="D34" s="25"/>
      <c r="E34" s="25"/>
      <c r="F34" s="25"/>
      <c r="G34" s="154">
        <f>FirstYear</f>
        <v>2020</v>
      </c>
      <c r="H34" s="154">
        <f>G34+1</f>
        <v>2021</v>
      </c>
      <c r="I34" s="154">
        <f t="shared" ref="I34:AF34" si="23">H34+1</f>
        <v>2022</v>
      </c>
      <c r="J34" s="154">
        <f t="shared" si="23"/>
        <v>2023</v>
      </c>
      <c r="K34" s="154">
        <f t="shared" si="23"/>
        <v>2024</v>
      </c>
      <c r="L34" s="154">
        <f t="shared" si="23"/>
        <v>2025</v>
      </c>
      <c r="M34" s="154">
        <f t="shared" si="23"/>
        <v>2026</v>
      </c>
      <c r="N34" s="154">
        <f t="shared" si="23"/>
        <v>2027</v>
      </c>
      <c r="O34" s="154">
        <f t="shared" si="23"/>
        <v>2028</v>
      </c>
      <c r="P34" s="154">
        <f t="shared" si="23"/>
        <v>2029</v>
      </c>
      <c r="Q34" s="154">
        <f t="shared" si="23"/>
        <v>2030</v>
      </c>
      <c r="R34" s="154">
        <f t="shared" si="23"/>
        <v>2031</v>
      </c>
      <c r="S34" s="154">
        <f t="shared" si="23"/>
        <v>2032</v>
      </c>
      <c r="T34" s="154">
        <f t="shared" si="23"/>
        <v>2033</v>
      </c>
      <c r="U34" s="154">
        <f t="shared" si="23"/>
        <v>2034</v>
      </c>
      <c r="V34" s="154">
        <f t="shared" si="23"/>
        <v>2035</v>
      </c>
      <c r="W34" s="154">
        <f t="shared" si="23"/>
        <v>2036</v>
      </c>
      <c r="X34" s="154">
        <f t="shared" si="23"/>
        <v>2037</v>
      </c>
      <c r="Y34" s="154">
        <f t="shared" si="23"/>
        <v>2038</v>
      </c>
      <c r="Z34" s="154">
        <f t="shared" si="23"/>
        <v>2039</v>
      </c>
      <c r="AA34" s="154">
        <f t="shared" si="23"/>
        <v>2040</v>
      </c>
      <c r="AB34" s="154">
        <f t="shared" si="23"/>
        <v>2041</v>
      </c>
      <c r="AC34" s="154">
        <f t="shared" si="23"/>
        <v>2042</v>
      </c>
      <c r="AD34" s="154">
        <f t="shared" si="23"/>
        <v>2043</v>
      </c>
      <c r="AE34" s="154">
        <f t="shared" si="23"/>
        <v>2044</v>
      </c>
      <c r="AF34" s="154">
        <f t="shared" si="23"/>
        <v>2045</v>
      </c>
      <c r="AG34" s="154">
        <f t="shared" ref="AG34:AJ34" si="24">AF34+1</f>
        <v>2046</v>
      </c>
      <c r="AH34" s="154">
        <f t="shared" si="24"/>
        <v>2047</v>
      </c>
      <c r="AI34" s="154">
        <f t="shared" si="24"/>
        <v>2048</v>
      </c>
      <c r="AJ34" s="154">
        <f t="shared" si="24"/>
        <v>2049</v>
      </c>
    </row>
    <row r="35" spans="1:38" x14ac:dyDescent="0.35">
      <c r="B35" s="25" t="s">
        <v>121</v>
      </c>
      <c r="C35" s="25"/>
      <c r="D35" s="25"/>
      <c r="E35" s="25"/>
      <c r="F35" s="25"/>
      <c r="G35" s="155">
        <f t="shared" ref="G35:AJ35" si="25">IF(G30&gt;AnalysisPeriod,0,1/(1+DiscountRate_Selection)^(G$34-FirstYear))</f>
        <v>1</v>
      </c>
      <c r="H35" s="155">
        <f t="shared" si="25"/>
        <v>0.94428706326723333</v>
      </c>
      <c r="I35" s="155">
        <f t="shared" si="25"/>
        <v>0.89167805785385579</v>
      </c>
      <c r="J35" s="155">
        <f t="shared" si="25"/>
        <v>0.84200005463064764</v>
      </c>
      <c r="K35" s="155">
        <f t="shared" si="25"/>
        <v>0.79508975885802413</v>
      </c>
      <c r="L35" s="155">
        <f t="shared" si="25"/>
        <v>0.75079297342589635</v>
      </c>
      <c r="M35" s="155">
        <f t="shared" si="25"/>
        <v>0.70896409199801358</v>
      </c>
      <c r="N35" s="155">
        <f t="shared" si="25"/>
        <v>0.66946562039472479</v>
      </c>
      <c r="O35" s="155">
        <f t="shared" si="25"/>
        <v>0.63216772464091109</v>
      </c>
      <c r="P35" s="155">
        <f t="shared" si="25"/>
        <v>0.59694780419349491</v>
      </c>
      <c r="Q35" s="155">
        <f t="shared" si="25"/>
        <v>0.56369008894569872</v>
      </c>
      <c r="R35" s="155">
        <f t="shared" si="25"/>
        <v>0.53228525868337928</v>
      </c>
      <c r="S35" s="155">
        <f t="shared" si="25"/>
        <v>0.50263008374256779</v>
      </c>
      <c r="T35" s="155">
        <f t="shared" si="25"/>
        <v>0.47462708568703288</v>
      </c>
      <c r="U35" s="155">
        <f t="shared" si="25"/>
        <v>0.44818421689049381</v>
      </c>
      <c r="V35" s="155">
        <f t="shared" si="25"/>
        <v>0.42321455797024909</v>
      </c>
      <c r="W35" s="155">
        <f t="shared" si="25"/>
        <v>0.39963603207766679</v>
      </c>
      <c r="X35" s="155">
        <f t="shared" si="25"/>
        <v>0.37737113510638981</v>
      </c>
      <c r="Y35" s="155">
        <f t="shared" si="25"/>
        <v>0.35634668093143512</v>
      </c>
      <c r="Z35" s="155">
        <f t="shared" si="25"/>
        <v>0.33649356084177068</v>
      </c>
      <c r="AA35" s="155">
        <f t="shared" si="25"/>
        <v>0.31774651637560969</v>
      </c>
      <c r="AB35" s="155">
        <f t="shared" si="25"/>
        <v>0.30004392481171832</v>
      </c>
      <c r="AC35" s="155">
        <f t="shared" si="25"/>
        <v>0.28332759661163209</v>
      </c>
      <c r="AD35" s="155">
        <f t="shared" si="25"/>
        <v>0.2675425841469613</v>
      </c>
      <c r="AE35" s="155">
        <f t="shared" si="25"/>
        <v>0.25263700108306075</v>
      </c>
      <c r="AF35" s="155">
        <f t="shared" si="25"/>
        <v>0.2385618518253643</v>
      </c>
      <c r="AG35" s="155">
        <f t="shared" si="25"/>
        <v>0</v>
      </c>
      <c r="AH35" s="155">
        <f t="shared" si="25"/>
        <v>0</v>
      </c>
      <c r="AI35" s="155">
        <f t="shared" si="25"/>
        <v>0</v>
      </c>
      <c r="AJ35" s="155">
        <f t="shared" si="25"/>
        <v>0</v>
      </c>
    </row>
    <row r="36" spans="1:38" x14ac:dyDescent="0.35">
      <c r="E36" s="28"/>
      <c r="F36" s="28"/>
      <c r="G36" s="28"/>
      <c r="H36" s="28"/>
      <c r="I36" s="28"/>
      <c r="J36" s="102"/>
    </row>
    <row r="37" spans="1:38" x14ac:dyDescent="0.35">
      <c r="B37" s="5" t="s">
        <v>120</v>
      </c>
      <c r="C37" s="27"/>
      <c r="D37" s="27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</row>
    <row r="38" spans="1:38" x14ac:dyDescent="0.35">
      <c r="B38" s="7" t="str">
        <f>+B7</f>
        <v>Number</v>
      </c>
      <c r="C38" s="10" t="str">
        <f>+C7</f>
        <v>Option name</v>
      </c>
      <c r="D38" s="10" t="s">
        <v>53</v>
      </c>
      <c r="E38" s="8" t="str">
        <f>+E7</f>
        <v>Units</v>
      </c>
      <c r="F38" s="8" t="s">
        <v>37</v>
      </c>
      <c r="G38" s="13" t="str">
        <f>G$32</f>
        <v>FY 2019-20</v>
      </c>
      <c r="H38" s="13" t="str">
        <f t="shared" ref="H38:AJ38" si="26">H$32</f>
        <v>FY 2020-21</v>
      </c>
      <c r="I38" s="13" t="str">
        <f t="shared" si="26"/>
        <v>FY 2021-22</v>
      </c>
      <c r="J38" s="13" t="str">
        <f t="shared" si="26"/>
        <v>FY 2022-23</v>
      </c>
      <c r="K38" s="13" t="str">
        <f t="shared" si="26"/>
        <v>FY 2023-24</v>
      </c>
      <c r="L38" s="13" t="str">
        <f t="shared" si="26"/>
        <v>FY 2024-25</v>
      </c>
      <c r="M38" s="13" t="str">
        <f t="shared" si="26"/>
        <v>FY 2025-26</v>
      </c>
      <c r="N38" s="13" t="str">
        <f t="shared" si="26"/>
        <v>FY 2026-27</v>
      </c>
      <c r="O38" s="13" t="str">
        <f t="shared" si="26"/>
        <v>FY 2027-28</v>
      </c>
      <c r="P38" s="13" t="str">
        <f t="shared" si="26"/>
        <v>FY 2028-29</v>
      </c>
      <c r="Q38" s="13" t="str">
        <f t="shared" si="26"/>
        <v>FY 2029-30</v>
      </c>
      <c r="R38" s="13" t="str">
        <f t="shared" si="26"/>
        <v>FY 2030-31</v>
      </c>
      <c r="S38" s="13" t="str">
        <f t="shared" si="26"/>
        <v>FY 2031-32</v>
      </c>
      <c r="T38" s="13" t="str">
        <f t="shared" si="26"/>
        <v>FY 2032-33</v>
      </c>
      <c r="U38" s="13" t="str">
        <f t="shared" si="26"/>
        <v>FY 2033-34</v>
      </c>
      <c r="V38" s="13" t="str">
        <f t="shared" si="26"/>
        <v>FY 2034-35</v>
      </c>
      <c r="W38" s="13" t="str">
        <f t="shared" si="26"/>
        <v>FY 2035-36</v>
      </c>
      <c r="X38" s="13" t="str">
        <f t="shared" si="26"/>
        <v>FY 2036-37</v>
      </c>
      <c r="Y38" s="13" t="str">
        <f t="shared" si="26"/>
        <v>FY 2037-38</v>
      </c>
      <c r="Z38" s="13" t="str">
        <f t="shared" si="26"/>
        <v>FY 2038-39</v>
      </c>
      <c r="AA38" s="13" t="str">
        <f t="shared" si="26"/>
        <v>FY 2039-40</v>
      </c>
      <c r="AB38" s="13" t="str">
        <f t="shared" si="26"/>
        <v>FY 2040-41</v>
      </c>
      <c r="AC38" s="13" t="str">
        <f t="shared" si="26"/>
        <v>FY 2041-42</v>
      </c>
      <c r="AD38" s="13" t="str">
        <f t="shared" si="26"/>
        <v>FY 2042-43</v>
      </c>
      <c r="AE38" s="13" t="str">
        <f t="shared" si="26"/>
        <v>FY 2043-44</v>
      </c>
      <c r="AF38" s="13" t="str">
        <f t="shared" si="26"/>
        <v>FY 2044-45</v>
      </c>
      <c r="AG38" s="13" t="str">
        <f t="shared" si="26"/>
        <v>FY 2045-46</v>
      </c>
      <c r="AH38" s="13" t="str">
        <f t="shared" si="26"/>
        <v>FY 2046-47</v>
      </c>
      <c r="AI38" s="13" t="str">
        <f t="shared" si="26"/>
        <v>FY 2047-48</v>
      </c>
      <c r="AJ38" s="13" t="str">
        <f t="shared" si="26"/>
        <v>FY 2048-49</v>
      </c>
      <c r="AK38" s="13" t="s">
        <v>127</v>
      </c>
    </row>
    <row r="39" spans="1:38" x14ac:dyDescent="0.35">
      <c r="A39" s="173"/>
      <c r="B39" s="23">
        <f>+'CBA Inputs'!B18</f>
        <v>1</v>
      </c>
      <c r="C39" s="24" t="str">
        <f>+'CBA Inputs'!C18</f>
        <v>Option 1A</v>
      </c>
      <c r="D39" s="24" t="str">
        <f>'CBA Inputs'!D18</f>
        <v>Substation</v>
      </c>
      <c r="E39" s="12" t="s">
        <v>35</v>
      </c>
      <c r="F39" s="181">
        <f t="shared" ref="F39:F43" si="27">NPV(DiscountRate_ACTIVE,G39:AJ39)/(1+DiscountRate_ACTIVE)^(FirstYear-BaseYear-2)</f>
        <v>-176316244.02324176</v>
      </c>
      <c r="G39" s="170">
        <f>-IF(AND(G$34&gt;='CBA Inputs'!$F18,G$34&lt;='CBA Inputs'!$G18),'CBA Inputs'!$E18/('CBA Inputs'!$G18-'CBA Inputs'!$F18+1),0)*IF(G$34=0,0,1)*CapitalCost_ACTIVE*G$31</f>
        <v>0</v>
      </c>
      <c r="H39" s="181">
        <f>-IF(AND(H$34&gt;='CBA Inputs'!$F18,H$34&lt;='CBA Inputs'!$G18),'CBA Inputs'!$E18/('CBA Inputs'!$G18-'CBA Inputs'!$F18+1),0)*IF(H$34=0,0,1)*CapitalCost_ACTIVE*H$31</f>
        <v>0</v>
      </c>
      <c r="I39" s="181">
        <f>-IF(AND(I$34&gt;='CBA Inputs'!$F18,I$34&lt;='CBA Inputs'!$G18),'CBA Inputs'!$E18/('CBA Inputs'!$G18-'CBA Inputs'!$F18+1),0)*IF(I$34=0,0,1)*CapitalCost_ACTIVE*I$31</f>
        <v>-186718902.42061299</v>
      </c>
      <c r="J39" s="181">
        <f>-IF(AND(J$34&gt;='CBA Inputs'!$F18,J$34&lt;='CBA Inputs'!$G18),'CBA Inputs'!$E18/('CBA Inputs'!$G18-'CBA Inputs'!$F18+1),0)*IF(J$34=0,0,1)*CapitalCost_ACTIVE*J$31</f>
        <v>0</v>
      </c>
      <c r="K39" s="181">
        <f>-IF(AND(K$34&gt;='CBA Inputs'!$F18,K$34&lt;='CBA Inputs'!$G18),'CBA Inputs'!$E18/('CBA Inputs'!$G18-'CBA Inputs'!$F18+1),0)*IF(K$34=0,0,1)*CapitalCost_ACTIVE*K$31</f>
        <v>0</v>
      </c>
      <c r="L39" s="181">
        <f>-IF(AND(L$34&gt;='CBA Inputs'!$F18,L$34&lt;='CBA Inputs'!$G18),'CBA Inputs'!$E18/('CBA Inputs'!$G18-'CBA Inputs'!$F18+1),0)*IF(L$34=0,0,1)*CapitalCost_ACTIVE*L$31</f>
        <v>0</v>
      </c>
      <c r="M39" s="181">
        <f>-IF(AND(M$34&gt;='CBA Inputs'!$F18,M$34&lt;='CBA Inputs'!$G18),'CBA Inputs'!$E18/('CBA Inputs'!$G18-'CBA Inputs'!$F18+1),0)*IF(M$34=0,0,1)*CapitalCost_ACTIVE*M$31</f>
        <v>0</v>
      </c>
      <c r="N39" s="181">
        <f>-IF(AND(N$34&gt;='CBA Inputs'!$F18,N$34&lt;='CBA Inputs'!$G18),'CBA Inputs'!$E18/('CBA Inputs'!$G18-'CBA Inputs'!$F18+1),0)*IF(N$34=0,0,1)*CapitalCost_ACTIVE*N$31</f>
        <v>0</v>
      </c>
      <c r="O39" s="181">
        <f>-IF(AND(O$34&gt;='CBA Inputs'!$F18,O$34&lt;='CBA Inputs'!$G18),'CBA Inputs'!$E18/('CBA Inputs'!$G18-'CBA Inputs'!$F18+1),0)*IF(O$34=0,0,1)*CapitalCost_ACTIVE*O$31</f>
        <v>0</v>
      </c>
      <c r="P39" s="181">
        <f>-IF(AND(P$34&gt;='CBA Inputs'!$F18,P$34&lt;='CBA Inputs'!$G18),'CBA Inputs'!$E18/('CBA Inputs'!$G18-'CBA Inputs'!$F18+1),0)*IF(P$34=0,0,1)*CapitalCost_ACTIVE*P$31</f>
        <v>0</v>
      </c>
      <c r="Q39" s="181">
        <f>-IF(AND(Q$34&gt;='CBA Inputs'!$F18,Q$34&lt;='CBA Inputs'!$G18),'CBA Inputs'!$E18/('CBA Inputs'!$G18-'CBA Inputs'!$F18+1),0)*IF(Q$34=0,0,1)*CapitalCost_ACTIVE*Q$31</f>
        <v>0</v>
      </c>
      <c r="R39" s="181">
        <f>-IF(AND(R$34&gt;='CBA Inputs'!$F18,R$34&lt;='CBA Inputs'!$G18),'CBA Inputs'!$E18/('CBA Inputs'!$G18-'CBA Inputs'!$F18+1),0)*IF(R$34=0,0,1)*CapitalCost_ACTIVE*R$31</f>
        <v>0</v>
      </c>
      <c r="S39" s="181">
        <f>-IF(AND(S$34&gt;='CBA Inputs'!$F18,S$34&lt;='CBA Inputs'!$G18),'CBA Inputs'!$E18/('CBA Inputs'!$G18-'CBA Inputs'!$F18+1),0)*IF(S$34=0,0,1)*CapitalCost_ACTIVE*S$31</f>
        <v>0</v>
      </c>
      <c r="T39" s="181">
        <f>-IF(AND(T$34&gt;='CBA Inputs'!$F18,T$34&lt;='CBA Inputs'!$G18),'CBA Inputs'!$E18/('CBA Inputs'!$G18-'CBA Inputs'!$F18+1),0)*IF(T$34=0,0,1)*CapitalCost_ACTIVE*T$31</f>
        <v>0</v>
      </c>
      <c r="U39" s="181">
        <f>-IF(AND(U$34&gt;='CBA Inputs'!$F18,U$34&lt;='CBA Inputs'!$G18),'CBA Inputs'!$E18/('CBA Inputs'!$G18-'CBA Inputs'!$F18+1),0)*IF(U$34=0,0,1)*CapitalCost_ACTIVE*U$31</f>
        <v>0</v>
      </c>
      <c r="V39" s="181">
        <f>-IF(AND(V$34&gt;='CBA Inputs'!$F18,V$34&lt;='CBA Inputs'!$G18),'CBA Inputs'!$E18/('CBA Inputs'!$G18-'CBA Inputs'!$F18+1),0)*IF(V$34=0,0,1)*CapitalCost_ACTIVE*V$31</f>
        <v>0</v>
      </c>
      <c r="W39" s="181">
        <f>-IF(AND(W$34&gt;='CBA Inputs'!$F18,W$34&lt;='CBA Inputs'!$G18),'CBA Inputs'!$E18/('CBA Inputs'!$G18-'CBA Inputs'!$F18+1),0)*IF(W$34=0,0,1)*CapitalCost_ACTIVE*W$31</f>
        <v>0</v>
      </c>
      <c r="X39" s="181">
        <f>-IF(AND(X$34&gt;='CBA Inputs'!$F18,X$34&lt;='CBA Inputs'!$G18),'CBA Inputs'!$E18/('CBA Inputs'!$G18-'CBA Inputs'!$F18+1),0)*IF(X$34=0,0,1)*CapitalCost_ACTIVE*X$31</f>
        <v>0</v>
      </c>
      <c r="Y39" s="181">
        <f>-IF(AND(Y$34&gt;='CBA Inputs'!$F18,Y$34&lt;='CBA Inputs'!$G18),'CBA Inputs'!$E18/('CBA Inputs'!$G18-'CBA Inputs'!$F18+1),0)*IF(Y$34=0,0,1)*CapitalCost_ACTIVE*Y$31</f>
        <v>0</v>
      </c>
      <c r="Z39" s="181">
        <f>-IF(AND(Z$34&gt;='CBA Inputs'!$F18,Z$34&lt;='CBA Inputs'!$G18),'CBA Inputs'!$E18/('CBA Inputs'!$G18-'CBA Inputs'!$F18+1),0)*IF(Z$34=0,0,1)*CapitalCost_ACTIVE*Z$31</f>
        <v>0</v>
      </c>
      <c r="AA39" s="181">
        <f>-IF(AND(AA$34&gt;='CBA Inputs'!$F18,AA$34&lt;='CBA Inputs'!$G18),'CBA Inputs'!$E18/('CBA Inputs'!$G18-'CBA Inputs'!$F18+1),0)*IF(AA$34=0,0,1)*CapitalCost_ACTIVE*AA$31</f>
        <v>0</v>
      </c>
      <c r="AB39" s="181">
        <f>-IF(AND(AB$34&gt;='CBA Inputs'!$F18,AB$34&lt;='CBA Inputs'!$G18),'CBA Inputs'!$E18/('CBA Inputs'!$G18-'CBA Inputs'!$F18+1),0)*IF(AB$34=0,0,1)*CapitalCost_ACTIVE*AB$31</f>
        <v>0</v>
      </c>
      <c r="AC39" s="181">
        <f>-IF(AND(AC$34&gt;='CBA Inputs'!$F18,AC$34&lt;='CBA Inputs'!$G18),'CBA Inputs'!$E18/('CBA Inputs'!$G18-'CBA Inputs'!$F18+1),0)*IF(AC$34=0,0,1)*CapitalCost_ACTIVE*AC$31</f>
        <v>0</v>
      </c>
      <c r="AD39" s="181">
        <f>-IF(AND(AD$34&gt;='CBA Inputs'!$F18,AD$34&lt;='CBA Inputs'!$G18),'CBA Inputs'!$E18/('CBA Inputs'!$G18-'CBA Inputs'!$F18+1),0)*IF(AD$34=0,0,1)*CapitalCost_ACTIVE*AD$31</f>
        <v>0</v>
      </c>
      <c r="AE39" s="181">
        <f>-IF(AND(AE$34&gt;='CBA Inputs'!$F18,AE$34&lt;='CBA Inputs'!$G18),'CBA Inputs'!$E18/('CBA Inputs'!$G18-'CBA Inputs'!$F18+1),0)*IF(AE$34=0,0,1)*CapitalCost_ACTIVE*AE$31</f>
        <v>0</v>
      </c>
      <c r="AF39" s="181">
        <f>-IF(AND(AF$34&gt;='CBA Inputs'!$F18,AF$34&lt;='CBA Inputs'!$G18),'CBA Inputs'!$E18/('CBA Inputs'!$G18-'CBA Inputs'!$F18+1),0)*IF(AF$34=0,0,1)*CapitalCost_ACTIVE*AF$31</f>
        <v>0</v>
      </c>
      <c r="AG39" s="181">
        <f>-IF(AND(AG$34&gt;='CBA Inputs'!$F18,AG$34&lt;='CBA Inputs'!$G18),'CBA Inputs'!$E18/('CBA Inputs'!$G18-'CBA Inputs'!$F18+1),0)*IF(AG$34=0,0,1)*CapitalCost_ACTIVE*AG$31</f>
        <v>0</v>
      </c>
      <c r="AH39" s="181">
        <f>-IF(AND(AH$34&gt;='CBA Inputs'!$F18,AH$34&lt;='CBA Inputs'!$G18),'CBA Inputs'!$E18/('CBA Inputs'!$G18-'CBA Inputs'!$F18+1),0)*IF(AH$34=0,0,1)*CapitalCost_ACTIVE*AH$31</f>
        <v>0</v>
      </c>
      <c r="AI39" s="181">
        <f>-IF(AND(AI$34&gt;='CBA Inputs'!$F18,AI$34&lt;='CBA Inputs'!$G18),'CBA Inputs'!$E18/('CBA Inputs'!$G18-'CBA Inputs'!$F18+1),0)*IF(AI$34=0,0,1)*CapitalCost_ACTIVE*AI$31</f>
        <v>0</v>
      </c>
      <c r="AJ39" s="18">
        <f>-IF(AND(AJ$34&gt;='CBA Inputs'!$F18,AJ$34&lt;='CBA Inputs'!$G18),'CBA Inputs'!$E18/('CBA Inputs'!$G18-'CBA Inputs'!$F18+1),0)*IF(AJ$34=0,0,1)*CapitalCost_ACTIVE*AJ$31</f>
        <v>0</v>
      </c>
      <c r="AK39" s="181">
        <f>-IF(AND(AK$34&gt;='CBA Inputs'!$F18,AK$34&lt;='CBA Inputs'!$G18),'CBA Inputs'!$E18/('CBA Inputs'!$G18-'CBA Inputs'!$F18+1),0)*IF(AK$34=0,0,1)*CapitalCost_ACTIVE*AK$31</f>
        <v>0</v>
      </c>
    </row>
    <row r="40" spans="1:38" x14ac:dyDescent="0.35">
      <c r="A40" s="112"/>
      <c r="B40" s="23">
        <f>+'CBA Inputs'!B19</f>
        <v>1</v>
      </c>
      <c r="C40" s="24" t="str">
        <f>+'CBA Inputs'!C19</f>
        <v>Option 1A</v>
      </c>
      <c r="D40" s="24" t="str">
        <f>'CBA Inputs'!D19</f>
        <v>Lines</v>
      </c>
      <c r="E40" s="12" t="s">
        <v>35</v>
      </c>
      <c r="F40" s="181">
        <f t="shared" si="27"/>
        <v>-40879223.398854584</v>
      </c>
      <c r="G40" s="170">
        <f>-IF(AND(G$34&gt;='CBA Inputs'!$F19,G$34&lt;='CBA Inputs'!$G19),'CBA Inputs'!$E19/('CBA Inputs'!$G19-'CBA Inputs'!$F19+1),0)*IF(G$34=0,0,1)*CapitalCost_ACTIVE*G$31</f>
        <v>0</v>
      </c>
      <c r="H40" s="181">
        <f>-IF(AND(H$34&gt;='CBA Inputs'!$F19,H$34&lt;='CBA Inputs'!$G19),'CBA Inputs'!$E19/('CBA Inputs'!$G19-'CBA Inputs'!$F19+1),0)*IF(H$34=0,0,1)*CapitalCost_ACTIVE*H$31</f>
        <v>0</v>
      </c>
      <c r="I40" s="181">
        <f>-IF(AND(I$34&gt;='CBA Inputs'!$F19,I$34&lt;='CBA Inputs'!$G19),'CBA Inputs'!$E19/('CBA Inputs'!$G19-'CBA Inputs'!$F19+1),0)*IF(I$34=0,0,1)*CapitalCost_ACTIVE*I$31</f>
        <v>-43291097.579387002</v>
      </c>
      <c r="J40" s="181">
        <f>-IF(AND(J$34&gt;='CBA Inputs'!$F19,J$34&lt;='CBA Inputs'!$G19),'CBA Inputs'!$E19/('CBA Inputs'!$G19-'CBA Inputs'!$F19+1),0)*IF(J$34=0,0,1)*CapitalCost_ACTIVE*J$31</f>
        <v>0</v>
      </c>
      <c r="K40" s="181">
        <f>-IF(AND(K$34&gt;='CBA Inputs'!$F19,K$34&lt;='CBA Inputs'!$G19),'CBA Inputs'!$E19/('CBA Inputs'!$G19-'CBA Inputs'!$F19+1),0)*IF(K$34=0,0,1)*CapitalCost_ACTIVE*K$31</f>
        <v>0</v>
      </c>
      <c r="L40" s="181">
        <f>-IF(AND(L$34&gt;='CBA Inputs'!$F19,L$34&lt;='CBA Inputs'!$G19),'CBA Inputs'!$E19/('CBA Inputs'!$G19-'CBA Inputs'!$F19+1),0)*IF(L$34=0,0,1)*CapitalCost_ACTIVE*L$31</f>
        <v>0</v>
      </c>
      <c r="M40" s="181">
        <f>-IF(AND(M$34&gt;='CBA Inputs'!$F19,M$34&lt;='CBA Inputs'!$G19),'CBA Inputs'!$E19/('CBA Inputs'!$G19-'CBA Inputs'!$F19+1),0)*IF(M$34=0,0,1)*CapitalCost_ACTIVE*M$31</f>
        <v>0</v>
      </c>
      <c r="N40" s="181">
        <f>-IF(AND(N$34&gt;='CBA Inputs'!$F19,N$34&lt;='CBA Inputs'!$G19),'CBA Inputs'!$E19/('CBA Inputs'!$G19-'CBA Inputs'!$F19+1),0)*IF(N$34=0,0,1)*CapitalCost_ACTIVE*N$31</f>
        <v>0</v>
      </c>
      <c r="O40" s="181">
        <f>-IF(AND(O$34&gt;='CBA Inputs'!$F19,O$34&lt;='CBA Inputs'!$G19),'CBA Inputs'!$E19/('CBA Inputs'!$G19-'CBA Inputs'!$F19+1),0)*IF(O$34=0,0,1)*CapitalCost_ACTIVE*O$31</f>
        <v>0</v>
      </c>
      <c r="P40" s="181">
        <f>-IF(AND(P$34&gt;='CBA Inputs'!$F19,P$34&lt;='CBA Inputs'!$G19),'CBA Inputs'!$E19/('CBA Inputs'!$G19-'CBA Inputs'!$F19+1),0)*IF(P$34=0,0,1)*CapitalCost_ACTIVE*P$31</f>
        <v>0</v>
      </c>
      <c r="Q40" s="181">
        <f>-IF(AND(Q$34&gt;='CBA Inputs'!$F19,Q$34&lt;='CBA Inputs'!$G19),'CBA Inputs'!$E19/('CBA Inputs'!$G19-'CBA Inputs'!$F19+1),0)*IF(Q$34=0,0,1)*CapitalCost_ACTIVE*Q$31</f>
        <v>0</v>
      </c>
      <c r="R40" s="181">
        <f>-IF(AND(R$34&gt;='CBA Inputs'!$F19,R$34&lt;='CBA Inputs'!$G19),'CBA Inputs'!$E19/('CBA Inputs'!$G19-'CBA Inputs'!$F19+1),0)*IF(R$34=0,0,1)*CapitalCost_ACTIVE*R$31</f>
        <v>0</v>
      </c>
      <c r="S40" s="181">
        <f>-IF(AND(S$34&gt;='CBA Inputs'!$F19,S$34&lt;='CBA Inputs'!$G19),'CBA Inputs'!$E19/('CBA Inputs'!$G19-'CBA Inputs'!$F19+1),0)*IF(S$34=0,0,1)*CapitalCost_ACTIVE*S$31</f>
        <v>0</v>
      </c>
      <c r="T40" s="181">
        <f>-IF(AND(T$34&gt;='CBA Inputs'!$F19,T$34&lt;='CBA Inputs'!$G19),'CBA Inputs'!$E19/('CBA Inputs'!$G19-'CBA Inputs'!$F19+1),0)*IF(T$34=0,0,1)*CapitalCost_ACTIVE*T$31</f>
        <v>0</v>
      </c>
      <c r="U40" s="181">
        <f>-IF(AND(U$34&gt;='CBA Inputs'!$F19,U$34&lt;='CBA Inputs'!$G19),'CBA Inputs'!$E19/('CBA Inputs'!$G19-'CBA Inputs'!$F19+1),0)*IF(U$34=0,0,1)*CapitalCost_ACTIVE*U$31</f>
        <v>0</v>
      </c>
      <c r="V40" s="181">
        <f>-IF(AND(V$34&gt;='CBA Inputs'!$F19,V$34&lt;='CBA Inputs'!$G19),'CBA Inputs'!$E19/('CBA Inputs'!$G19-'CBA Inputs'!$F19+1),0)*IF(V$34=0,0,1)*CapitalCost_ACTIVE*V$31</f>
        <v>0</v>
      </c>
      <c r="W40" s="181">
        <f>-IF(AND(W$34&gt;='CBA Inputs'!$F19,W$34&lt;='CBA Inputs'!$G19),'CBA Inputs'!$E19/('CBA Inputs'!$G19-'CBA Inputs'!$F19+1),0)*IF(W$34=0,0,1)*CapitalCost_ACTIVE*W$31</f>
        <v>0</v>
      </c>
      <c r="X40" s="181">
        <f>-IF(AND(X$34&gt;='CBA Inputs'!$F19,X$34&lt;='CBA Inputs'!$G19),'CBA Inputs'!$E19/('CBA Inputs'!$G19-'CBA Inputs'!$F19+1),0)*IF(X$34=0,0,1)*CapitalCost_ACTIVE*X$31</f>
        <v>0</v>
      </c>
      <c r="Y40" s="181">
        <f>-IF(AND(Y$34&gt;='CBA Inputs'!$F19,Y$34&lt;='CBA Inputs'!$G19),'CBA Inputs'!$E19/('CBA Inputs'!$G19-'CBA Inputs'!$F19+1),0)*IF(Y$34=0,0,1)*CapitalCost_ACTIVE*Y$31</f>
        <v>0</v>
      </c>
      <c r="Z40" s="181">
        <f>-IF(AND(Z$34&gt;='CBA Inputs'!$F19,Z$34&lt;='CBA Inputs'!$G19),'CBA Inputs'!$E19/('CBA Inputs'!$G19-'CBA Inputs'!$F19+1),0)*IF(Z$34=0,0,1)*CapitalCost_ACTIVE*Z$31</f>
        <v>0</v>
      </c>
      <c r="AA40" s="181">
        <f>-IF(AND(AA$34&gt;='CBA Inputs'!$F19,AA$34&lt;='CBA Inputs'!$G19),'CBA Inputs'!$E19/('CBA Inputs'!$G19-'CBA Inputs'!$F19+1),0)*IF(AA$34=0,0,1)*CapitalCost_ACTIVE*AA$31</f>
        <v>0</v>
      </c>
      <c r="AB40" s="181">
        <f>-IF(AND(AB$34&gt;='CBA Inputs'!$F19,AB$34&lt;='CBA Inputs'!$G19),'CBA Inputs'!$E19/('CBA Inputs'!$G19-'CBA Inputs'!$F19+1),0)*IF(AB$34=0,0,1)*CapitalCost_ACTIVE*AB$31</f>
        <v>0</v>
      </c>
      <c r="AC40" s="181">
        <f>-IF(AND(AC$34&gt;='CBA Inputs'!$F19,AC$34&lt;='CBA Inputs'!$G19),'CBA Inputs'!$E19/('CBA Inputs'!$G19-'CBA Inputs'!$F19+1),0)*IF(AC$34=0,0,1)*CapitalCost_ACTIVE*AC$31</f>
        <v>0</v>
      </c>
      <c r="AD40" s="181">
        <f>-IF(AND(AD$34&gt;='CBA Inputs'!$F19,AD$34&lt;='CBA Inputs'!$G19),'CBA Inputs'!$E19/('CBA Inputs'!$G19-'CBA Inputs'!$F19+1),0)*IF(AD$34=0,0,1)*CapitalCost_ACTIVE*AD$31</f>
        <v>0</v>
      </c>
      <c r="AE40" s="181">
        <f>-IF(AND(AE$34&gt;='CBA Inputs'!$F19,AE$34&lt;='CBA Inputs'!$G19),'CBA Inputs'!$E19/('CBA Inputs'!$G19-'CBA Inputs'!$F19+1),0)*IF(AE$34=0,0,1)*CapitalCost_ACTIVE*AE$31</f>
        <v>0</v>
      </c>
      <c r="AF40" s="181">
        <f>-IF(AND(AF$34&gt;='CBA Inputs'!$F19,AF$34&lt;='CBA Inputs'!$G19),'CBA Inputs'!$E19/('CBA Inputs'!$G19-'CBA Inputs'!$F19+1),0)*IF(AF$34=0,0,1)*CapitalCost_ACTIVE*AF$31</f>
        <v>0</v>
      </c>
      <c r="AG40" s="181">
        <f>-IF(AND(AG$34&gt;='CBA Inputs'!$F19,AG$34&lt;='CBA Inputs'!$G19),'CBA Inputs'!$E19/('CBA Inputs'!$G19-'CBA Inputs'!$F19+1),0)*IF(AG$34=0,0,1)*CapitalCost_ACTIVE*AG$31</f>
        <v>0</v>
      </c>
      <c r="AH40" s="181">
        <f>-IF(AND(AH$34&gt;='CBA Inputs'!$F19,AH$34&lt;='CBA Inputs'!$G19),'CBA Inputs'!$E19/('CBA Inputs'!$G19-'CBA Inputs'!$F19+1),0)*IF(AH$34=0,0,1)*CapitalCost_ACTIVE*AH$31</f>
        <v>0</v>
      </c>
      <c r="AI40" s="181">
        <f>-IF(AND(AI$34&gt;='CBA Inputs'!$F19,AI$34&lt;='CBA Inputs'!$G19),'CBA Inputs'!$E19/('CBA Inputs'!$G19-'CBA Inputs'!$F19+1),0)*IF(AI$34=0,0,1)*CapitalCost_ACTIVE*AI$31</f>
        <v>0</v>
      </c>
      <c r="AJ40" s="18">
        <f>-IF(AND(AJ$34&gt;='CBA Inputs'!$F19,AJ$34&lt;='CBA Inputs'!$G19),'CBA Inputs'!$E19/('CBA Inputs'!$G19-'CBA Inputs'!$F19+1),0)*IF(AJ$34=0,0,1)*CapitalCost_ACTIVE*AJ$31</f>
        <v>0</v>
      </c>
      <c r="AK40" s="181">
        <f>-IF(AND(AK$34&gt;='CBA Inputs'!$F19,AK$34&lt;='CBA Inputs'!$G19),'CBA Inputs'!$E19/('CBA Inputs'!$G19-'CBA Inputs'!$F19+1),0)*IF(AK$34=0,0,1)*CapitalCost_ACTIVE*AK$31</f>
        <v>0</v>
      </c>
    </row>
    <row r="41" spans="1:38" x14ac:dyDescent="0.35">
      <c r="A41" s="112"/>
      <c r="B41" s="23">
        <f>+'CBA Inputs'!B20</f>
        <v>2</v>
      </c>
      <c r="C41" s="24" t="str">
        <f>+'CBA Inputs'!C20</f>
        <v>Option 1B</v>
      </c>
      <c r="D41" s="24" t="str">
        <f>'CBA Inputs'!D20</f>
        <v>Lines</v>
      </c>
      <c r="E41" s="12" t="s">
        <v>35</v>
      </c>
      <c r="F41" s="181">
        <f t="shared" si="27"/>
        <v>-40879223.398854584</v>
      </c>
      <c r="G41" s="170">
        <f>-IF(AND(G$34&gt;='CBA Inputs'!$F20,G$34&lt;='CBA Inputs'!$G20),'CBA Inputs'!$E20/('CBA Inputs'!$G20-'CBA Inputs'!$F20+1),0)*IF(G$34=0,0,1)*CapitalCost_ACTIVE*G$31</f>
        <v>0</v>
      </c>
      <c r="H41" s="181">
        <f>-IF(AND(H$34&gt;='CBA Inputs'!$F20,H$34&lt;='CBA Inputs'!$G20),'CBA Inputs'!$E20/('CBA Inputs'!$G20-'CBA Inputs'!$F20+1),0)*IF(H$34=0,0,1)*CapitalCost_ACTIVE*H$31</f>
        <v>0</v>
      </c>
      <c r="I41" s="181">
        <f>-IF(AND(I$34&gt;='CBA Inputs'!$F20,I$34&lt;='CBA Inputs'!$G20),'CBA Inputs'!$E20/('CBA Inputs'!$G20-'CBA Inputs'!$F20+1),0)*IF(I$34=0,0,1)*CapitalCost_ACTIVE*I$31</f>
        <v>-43291097.579387002</v>
      </c>
      <c r="J41" s="181">
        <f>-IF(AND(J$34&gt;='CBA Inputs'!$F20,J$34&lt;='CBA Inputs'!$G20),'CBA Inputs'!$E20/('CBA Inputs'!$G20-'CBA Inputs'!$F20+1),0)*IF(J$34=0,0,1)*CapitalCost_ACTIVE*J$31</f>
        <v>0</v>
      </c>
      <c r="K41" s="181">
        <f>-IF(AND(K$34&gt;='CBA Inputs'!$F20,K$34&lt;='CBA Inputs'!$G20),'CBA Inputs'!$E20/('CBA Inputs'!$G20-'CBA Inputs'!$F20+1),0)*IF(K$34=0,0,1)*CapitalCost_ACTIVE*K$31</f>
        <v>0</v>
      </c>
      <c r="L41" s="181">
        <f>-IF(AND(L$34&gt;='CBA Inputs'!$F20,L$34&lt;='CBA Inputs'!$G20),'CBA Inputs'!$E20/('CBA Inputs'!$G20-'CBA Inputs'!$F20+1),0)*IF(L$34=0,0,1)*CapitalCost_ACTIVE*L$31</f>
        <v>0</v>
      </c>
      <c r="M41" s="181">
        <f>-IF(AND(M$34&gt;='CBA Inputs'!$F20,M$34&lt;='CBA Inputs'!$G20),'CBA Inputs'!$E20/('CBA Inputs'!$G20-'CBA Inputs'!$F20+1),0)*IF(M$34=0,0,1)*CapitalCost_ACTIVE*M$31</f>
        <v>0</v>
      </c>
      <c r="N41" s="181">
        <f>-IF(AND(N$34&gt;='CBA Inputs'!$F20,N$34&lt;='CBA Inputs'!$G20),'CBA Inputs'!$E20/('CBA Inputs'!$G20-'CBA Inputs'!$F20+1),0)*IF(N$34=0,0,1)*CapitalCost_ACTIVE*N$31</f>
        <v>0</v>
      </c>
      <c r="O41" s="181">
        <f>-IF(AND(O$34&gt;='CBA Inputs'!$F20,O$34&lt;='CBA Inputs'!$G20),'CBA Inputs'!$E20/('CBA Inputs'!$G20-'CBA Inputs'!$F20+1),0)*IF(O$34=0,0,1)*CapitalCost_ACTIVE*O$31</f>
        <v>0</v>
      </c>
      <c r="P41" s="181">
        <f>-IF(AND(P$34&gt;='CBA Inputs'!$F20,P$34&lt;='CBA Inputs'!$G20),'CBA Inputs'!$E20/('CBA Inputs'!$G20-'CBA Inputs'!$F20+1),0)*IF(P$34=0,0,1)*CapitalCost_ACTIVE*P$31</f>
        <v>0</v>
      </c>
      <c r="Q41" s="181">
        <f>-IF(AND(Q$34&gt;='CBA Inputs'!$F20,Q$34&lt;='CBA Inputs'!$G20),'CBA Inputs'!$E20/('CBA Inputs'!$G20-'CBA Inputs'!$F20+1),0)*IF(Q$34=0,0,1)*CapitalCost_ACTIVE*Q$31</f>
        <v>0</v>
      </c>
      <c r="R41" s="181">
        <f>-IF(AND(R$34&gt;='CBA Inputs'!$F20,R$34&lt;='CBA Inputs'!$G20),'CBA Inputs'!$E20/('CBA Inputs'!$G20-'CBA Inputs'!$F20+1),0)*IF(R$34=0,0,1)*CapitalCost_ACTIVE*R$31</f>
        <v>0</v>
      </c>
      <c r="S41" s="181">
        <f>-IF(AND(S$34&gt;='CBA Inputs'!$F20,S$34&lt;='CBA Inputs'!$G20),'CBA Inputs'!$E20/('CBA Inputs'!$G20-'CBA Inputs'!$F20+1),0)*IF(S$34=0,0,1)*CapitalCost_ACTIVE*S$31</f>
        <v>0</v>
      </c>
      <c r="T41" s="181">
        <f>-IF(AND(T$34&gt;='CBA Inputs'!$F20,T$34&lt;='CBA Inputs'!$G20),'CBA Inputs'!$E20/('CBA Inputs'!$G20-'CBA Inputs'!$F20+1),0)*IF(T$34=0,0,1)*CapitalCost_ACTIVE*T$31</f>
        <v>0</v>
      </c>
      <c r="U41" s="181">
        <f>-IF(AND(U$34&gt;='CBA Inputs'!$F20,U$34&lt;='CBA Inputs'!$G20),'CBA Inputs'!$E20/('CBA Inputs'!$G20-'CBA Inputs'!$F20+1),0)*IF(U$34=0,0,1)*CapitalCost_ACTIVE*U$31</f>
        <v>0</v>
      </c>
      <c r="V41" s="181">
        <f>-IF(AND(V$34&gt;='CBA Inputs'!$F20,V$34&lt;='CBA Inputs'!$G20),'CBA Inputs'!$E20/('CBA Inputs'!$G20-'CBA Inputs'!$F20+1),0)*IF(V$34=0,0,1)*CapitalCost_ACTIVE*V$31</f>
        <v>0</v>
      </c>
      <c r="W41" s="181">
        <f>-IF(AND(W$34&gt;='CBA Inputs'!$F20,W$34&lt;='CBA Inputs'!$G20),'CBA Inputs'!$E20/('CBA Inputs'!$G20-'CBA Inputs'!$F20+1),0)*IF(W$34=0,0,1)*CapitalCost_ACTIVE*W$31</f>
        <v>0</v>
      </c>
      <c r="X41" s="181">
        <f>-IF(AND(X$34&gt;='CBA Inputs'!$F20,X$34&lt;='CBA Inputs'!$G20),'CBA Inputs'!$E20/('CBA Inputs'!$G20-'CBA Inputs'!$F20+1),0)*IF(X$34=0,0,1)*CapitalCost_ACTIVE*X$31</f>
        <v>0</v>
      </c>
      <c r="Y41" s="181">
        <f>-IF(AND(Y$34&gt;='CBA Inputs'!$F20,Y$34&lt;='CBA Inputs'!$G20),'CBA Inputs'!$E20/('CBA Inputs'!$G20-'CBA Inputs'!$F20+1),0)*IF(Y$34=0,0,1)*CapitalCost_ACTIVE*Y$31</f>
        <v>0</v>
      </c>
      <c r="Z41" s="181">
        <f>-IF(AND(Z$34&gt;='CBA Inputs'!$F20,Z$34&lt;='CBA Inputs'!$G20),'CBA Inputs'!$E20/('CBA Inputs'!$G20-'CBA Inputs'!$F20+1),0)*IF(Z$34=0,0,1)*CapitalCost_ACTIVE*Z$31</f>
        <v>0</v>
      </c>
      <c r="AA41" s="181">
        <f>-IF(AND(AA$34&gt;='CBA Inputs'!$F20,AA$34&lt;='CBA Inputs'!$G20),'CBA Inputs'!$E20/('CBA Inputs'!$G20-'CBA Inputs'!$F20+1),0)*IF(AA$34=0,0,1)*CapitalCost_ACTIVE*AA$31</f>
        <v>0</v>
      </c>
      <c r="AB41" s="181">
        <f>-IF(AND(AB$34&gt;='CBA Inputs'!$F20,AB$34&lt;='CBA Inputs'!$G20),'CBA Inputs'!$E20/('CBA Inputs'!$G20-'CBA Inputs'!$F20+1),0)*IF(AB$34=0,0,1)*CapitalCost_ACTIVE*AB$31</f>
        <v>0</v>
      </c>
      <c r="AC41" s="181">
        <f>-IF(AND(AC$34&gt;='CBA Inputs'!$F20,AC$34&lt;='CBA Inputs'!$G20),'CBA Inputs'!$E20/('CBA Inputs'!$G20-'CBA Inputs'!$F20+1),0)*IF(AC$34=0,0,1)*CapitalCost_ACTIVE*AC$31</f>
        <v>0</v>
      </c>
      <c r="AD41" s="181">
        <f>-IF(AND(AD$34&gt;='CBA Inputs'!$F20,AD$34&lt;='CBA Inputs'!$G20),'CBA Inputs'!$E20/('CBA Inputs'!$G20-'CBA Inputs'!$F20+1),0)*IF(AD$34=0,0,1)*CapitalCost_ACTIVE*AD$31</f>
        <v>0</v>
      </c>
      <c r="AE41" s="181">
        <f>-IF(AND(AE$34&gt;='CBA Inputs'!$F20,AE$34&lt;='CBA Inputs'!$G20),'CBA Inputs'!$E20/('CBA Inputs'!$G20-'CBA Inputs'!$F20+1),0)*IF(AE$34=0,0,1)*CapitalCost_ACTIVE*AE$31</f>
        <v>0</v>
      </c>
      <c r="AF41" s="181">
        <f>-IF(AND(AF$34&gt;='CBA Inputs'!$F20,AF$34&lt;='CBA Inputs'!$G20),'CBA Inputs'!$E20/('CBA Inputs'!$G20-'CBA Inputs'!$F20+1),0)*IF(AF$34=0,0,1)*CapitalCost_ACTIVE*AF$31</f>
        <v>0</v>
      </c>
      <c r="AG41" s="181">
        <f>-IF(AND(AG$34&gt;='CBA Inputs'!$F20,AG$34&lt;='CBA Inputs'!$G20),'CBA Inputs'!$E20/('CBA Inputs'!$G20-'CBA Inputs'!$F20+1),0)*IF(AG$34=0,0,1)*CapitalCost_ACTIVE*AG$31</f>
        <v>0</v>
      </c>
      <c r="AH41" s="181">
        <f>-IF(AND(AH$34&gt;='CBA Inputs'!$F20,AH$34&lt;='CBA Inputs'!$G20),'CBA Inputs'!$E20/('CBA Inputs'!$G20-'CBA Inputs'!$F20+1),0)*IF(AH$34=0,0,1)*CapitalCost_ACTIVE*AH$31</f>
        <v>0</v>
      </c>
      <c r="AI41" s="181">
        <f>-IF(AND(AI$34&gt;='CBA Inputs'!$F20,AI$34&lt;='CBA Inputs'!$G20),'CBA Inputs'!$E20/('CBA Inputs'!$G20-'CBA Inputs'!$F20+1),0)*IF(AI$34=0,0,1)*CapitalCost_ACTIVE*AI$31</f>
        <v>0</v>
      </c>
      <c r="AJ41" s="18">
        <f>-IF(AND(AJ$34&gt;='CBA Inputs'!$F20,AJ$34&lt;='CBA Inputs'!$G20),'CBA Inputs'!$E20/('CBA Inputs'!$G20-'CBA Inputs'!$F20+1),0)*IF(AJ$34=0,0,1)*CapitalCost_ACTIVE*AJ$31</f>
        <v>0</v>
      </c>
      <c r="AK41" s="181">
        <f>-IF(AND(AK$34&gt;='CBA Inputs'!$F20,AK$34&lt;='CBA Inputs'!$G20),'CBA Inputs'!$E20/('CBA Inputs'!$G20-'CBA Inputs'!$F20+1),0)*IF(AK$34=0,0,1)*CapitalCost_ACTIVE*AK$31</f>
        <v>0</v>
      </c>
    </row>
    <row r="42" spans="1:38" x14ac:dyDescent="0.35">
      <c r="A42" s="112"/>
      <c r="B42" s="23">
        <f>+'CBA Inputs'!B21</f>
        <v>3</v>
      </c>
      <c r="C42" s="24" t="str">
        <f>+'CBA Inputs'!C21</f>
        <v>Option 1C</v>
      </c>
      <c r="D42" s="24" t="str">
        <f>'CBA Inputs'!D21</f>
        <v>Substation</v>
      </c>
      <c r="E42" s="12" t="s">
        <v>35</v>
      </c>
      <c r="F42" s="181">
        <f t="shared" si="27"/>
        <v>-176316244.02324176</v>
      </c>
      <c r="G42" s="170">
        <f>-IF(AND(G$34&gt;='CBA Inputs'!$F21,G$34&lt;='CBA Inputs'!$G21),'CBA Inputs'!$E21/('CBA Inputs'!$G21-'CBA Inputs'!$F21+1),0)*IF(G$34=0,0,1)*CapitalCost_ACTIVE*G$31</f>
        <v>0</v>
      </c>
      <c r="H42" s="181">
        <f>-IF(AND(H$34&gt;='CBA Inputs'!$F21,H$34&lt;='CBA Inputs'!$G21),'CBA Inputs'!$E21/('CBA Inputs'!$G21-'CBA Inputs'!$F21+1),0)*IF(H$34=0,0,1)*CapitalCost_ACTIVE*H$31</f>
        <v>0</v>
      </c>
      <c r="I42" s="181">
        <f>-IF(AND(I$34&gt;='CBA Inputs'!$F21,I$34&lt;='CBA Inputs'!$G21),'CBA Inputs'!$E21/('CBA Inputs'!$G21-'CBA Inputs'!$F21+1),0)*IF(I$34=0,0,1)*CapitalCost_ACTIVE*I$31</f>
        <v>-186718902.42061299</v>
      </c>
      <c r="J42" s="181">
        <f>-IF(AND(J$34&gt;='CBA Inputs'!$F21,J$34&lt;='CBA Inputs'!$G21),'CBA Inputs'!$E21/('CBA Inputs'!$G21-'CBA Inputs'!$F21+1),0)*IF(J$34=0,0,1)*CapitalCost_ACTIVE*J$31</f>
        <v>0</v>
      </c>
      <c r="K42" s="181">
        <f>-IF(AND(K$34&gt;='CBA Inputs'!$F21,K$34&lt;='CBA Inputs'!$G21),'CBA Inputs'!$E21/('CBA Inputs'!$G21-'CBA Inputs'!$F21+1),0)*IF(K$34=0,0,1)*CapitalCost_ACTIVE*K$31</f>
        <v>0</v>
      </c>
      <c r="L42" s="181">
        <f>-IF(AND(L$34&gt;='CBA Inputs'!$F21,L$34&lt;='CBA Inputs'!$G21),'CBA Inputs'!$E21/('CBA Inputs'!$G21-'CBA Inputs'!$F21+1),0)*IF(L$34=0,0,1)*CapitalCost_ACTIVE*L$31</f>
        <v>0</v>
      </c>
      <c r="M42" s="181">
        <f>-IF(AND(M$34&gt;='CBA Inputs'!$F21,M$34&lt;='CBA Inputs'!$G21),'CBA Inputs'!$E21/('CBA Inputs'!$G21-'CBA Inputs'!$F21+1),0)*IF(M$34=0,0,1)*CapitalCost_ACTIVE*M$31</f>
        <v>0</v>
      </c>
      <c r="N42" s="181">
        <f>-IF(AND(N$34&gt;='CBA Inputs'!$F21,N$34&lt;='CBA Inputs'!$G21),'CBA Inputs'!$E21/('CBA Inputs'!$G21-'CBA Inputs'!$F21+1),0)*IF(N$34=0,0,1)*CapitalCost_ACTIVE*N$31</f>
        <v>0</v>
      </c>
      <c r="O42" s="181">
        <f>-IF(AND(O$34&gt;='CBA Inputs'!$F21,O$34&lt;='CBA Inputs'!$G21),'CBA Inputs'!$E21/('CBA Inputs'!$G21-'CBA Inputs'!$F21+1),0)*IF(O$34=0,0,1)*CapitalCost_ACTIVE*O$31</f>
        <v>0</v>
      </c>
      <c r="P42" s="181">
        <f>-IF(AND(P$34&gt;='CBA Inputs'!$F21,P$34&lt;='CBA Inputs'!$G21),'CBA Inputs'!$E21/('CBA Inputs'!$G21-'CBA Inputs'!$F21+1),0)*IF(P$34=0,0,1)*CapitalCost_ACTIVE*P$31</f>
        <v>0</v>
      </c>
      <c r="Q42" s="181">
        <f>-IF(AND(Q$34&gt;='CBA Inputs'!$F21,Q$34&lt;='CBA Inputs'!$G21),'CBA Inputs'!$E21/('CBA Inputs'!$G21-'CBA Inputs'!$F21+1),0)*IF(Q$34=0,0,1)*CapitalCost_ACTIVE*Q$31</f>
        <v>0</v>
      </c>
      <c r="R42" s="181">
        <f>-IF(AND(R$34&gt;='CBA Inputs'!$F21,R$34&lt;='CBA Inputs'!$G21),'CBA Inputs'!$E21/('CBA Inputs'!$G21-'CBA Inputs'!$F21+1),0)*IF(R$34=0,0,1)*CapitalCost_ACTIVE*R$31</f>
        <v>0</v>
      </c>
      <c r="S42" s="181">
        <f>-IF(AND(S$34&gt;='CBA Inputs'!$F21,S$34&lt;='CBA Inputs'!$G21),'CBA Inputs'!$E21/('CBA Inputs'!$G21-'CBA Inputs'!$F21+1),0)*IF(S$34=0,0,1)*CapitalCost_ACTIVE*S$31</f>
        <v>0</v>
      </c>
      <c r="T42" s="181">
        <f>-IF(AND(T$34&gt;='CBA Inputs'!$F21,T$34&lt;='CBA Inputs'!$G21),'CBA Inputs'!$E21/('CBA Inputs'!$G21-'CBA Inputs'!$F21+1),0)*IF(T$34=0,0,1)*CapitalCost_ACTIVE*T$31</f>
        <v>0</v>
      </c>
      <c r="U42" s="181">
        <f>-IF(AND(U$34&gt;='CBA Inputs'!$F21,U$34&lt;='CBA Inputs'!$G21),'CBA Inputs'!$E21/('CBA Inputs'!$G21-'CBA Inputs'!$F21+1),0)*IF(U$34=0,0,1)*CapitalCost_ACTIVE*U$31</f>
        <v>0</v>
      </c>
      <c r="V42" s="181">
        <f>-IF(AND(V$34&gt;='CBA Inputs'!$F21,V$34&lt;='CBA Inputs'!$G21),'CBA Inputs'!$E21/('CBA Inputs'!$G21-'CBA Inputs'!$F21+1),0)*IF(V$34=0,0,1)*CapitalCost_ACTIVE*V$31</f>
        <v>0</v>
      </c>
      <c r="W42" s="181">
        <f>-IF(AND(W$34&gt;='CBA Inputs'!$F21,W$34&lt;='CBA Inputs'!$G21),'CBA Inputs'!$E21/('CBA Inputs'!$G21-'CBA Inputs'!$F21+1),0)*IF(W$34=0,0,1)*CapitalCost_ACTIVE*W$31</f>
        <v>0</v>
      </c>
      <c r="X42" s="181">
        <f>-IF(AND(X$34&gt;='CBA Inputs'!$F21,X$34&lt;='CBA Inputs'!$G21),'CBA Inputs'!$E21/('CBA Inputs'!$G21-'CBA Inputs'!$F21+1),0)*IF(X$34=0,0,1)*CapitalCost_ACTIVE*X$31</f>
        <v>0</v>
      </c>
      <c r="Y42" s="181">
        <f>-IF(AND(Y$34&gt;='CBA Inputs'!$F21,Y$34&lt;='CBA Inputs'!$G21),'CBA Inputs'!$E21/('CBA Inputs'!$G21-'CBA Inputs'!$F21+1),0)*IF(Y$34=0,0,1)*CapitalCost_ACTIVE*Y$31</f>
        <v>0</v>
      </c>
      <c r="Z42" s="181">
        <f>-IF(AND(Z$34&gt;='CBA Inputs'!$F21,Z$34&lt;='CBA Inputs'!$G21),'CBA Inputs'!$E21/('CBA Inputs'!$G21-'CBA Inputs'!$F21+1),0)*IF(Z$34=0,0,1)*CapitalCost_ACTIVE*Z$31</f>
        <v>0</v>
      </c>
      <c r="AA42" s="181">
        <f>-IF(AND(AA$34&gt;='CBA Inputs'!$F21,AA$34&lt;='CBA Inputs'!$G21),'CBA Inputs'!$E21/('CBA Inputs'!$G21-'CBA Inputs'!$F21+1),0)*IF(AA$34=0,0,1)*CapitalCost_ACTIVE*AA$31</f>
        <v>0</v>
      </c>
      <c r="AB42" s="181">
        <f>-IF(AND(AB$34&gt;='CBA Inputs'!$F21,AB$34&lt;='CBA Inputs'!$G21),'CBA Inputs'!$E21/('CBA Inputs'!$G21-'CBA Inputs'!$F21+1),0)*IF(AB$34=0,0,1)*CapitalCost_ACTIVE*AB$31</f>
        <v>0</v>
      </c>
      <c r="AC42" s="181">
        <f>-IF(AND(AC$34&gt;='CBA Inputs'!$F21,AC$34&lt;='CBA Inputs'!$G21),'CBA Inputs'!$E21/('CBA Inputs'!$G21-'CBA Inputs'!$F21+1),0)*IF(AC$34=0,0,1)*CapitalCost_ACTIVE*AC$31</f>
        <v>0</v>
      </c>
      <c r="AD42" s="181">
        <f>-IF(AND(AD$34&gt;='CBA Inputs'!$F21,AD$34&lt;='CBA Inputs'!$G21),'CBA Inputs'!$E21/('CBA Inputs'!$G21-'CBA Inputs'!$F21+1),0)*IF(AD$34=0,0,1)*CapitalCost_ACTIVE*AD$31</f>
        <v>0</v>
      </c>
      <c r="AE42" s="181">
        <f>-IF(AND(AE$34&gt;='CBA Inputs'!$F21,AE$34&lt;='CBA Inputs'!$G21),'CBA Inputs'!$E21/('CBA Inputs'!$G21-'CBA Inputs'!$F21+1),0)*IF(AE$34=0,0,1)*CapitalCost_ACTIVE*AE$31</f>
        <v>0</v>
      </c>
      <c r="AF42" s="181">
        <f>-IF(AND(AF$34&gt;='CBA Inputs'!$F21,AF$34&lt;='CBA Inputs'!$G21),'CBA Inputs'!$E21/('CBA Inputs'!$G21-'CBA Inputs'!$F21+1),0)*IF(AF$34=0,0,1)*CapitalCost_ACTIVE*AF$31</f>
        <v>0</v>
      </c>
      <c r="AG42" s="181">
        <f>-IF(AND(AG$34&gt;='CBA Inputs'!$F21,AG$34&lt;='CBA Inputs'!$G21),'CBA Inputs'!$E21/('CBA Inputs'!$G21-'CBA Inputs'!$F21+1),0)*IF(AG$34=0,0,1)*CapitalCost_ACTIVE*AG$31</f>
        <v>0</v>
      </c>
      <c r="AH42" s="181">
        <f>-IF(AND(AH$34&gt;='CBA Inputs'!$F21,AH$34&lt;='CBA Inputs'!$G21),'CBA Inputs'!$E21/('CBA Inputs'!$G21-'CBA Inputs'!$F21+1),0)*IF(AH$34=0,0,1)*CapitalCost_ACTIVE*AH$31</f>
        <v>0</v>
      </c>
      <c r="AI42" s="181">
        <f>-IF(AND(AI$34&gt;='CBA Inputs'!$F21,AI$34&lt;='CBA Inputs'!$G21),'CBA Inputs'!$E21/('CBA Inputs'!$G21-'CBA Inputs'!$F21+1),0)*IF(AI$34=0,0,1)*CapitalCost_ACTIVE*AI$31</f>
        <v>0</v>
      </c>
      <c r="AJ42" s="18">
        <f>-IF(AND(AJ$34&gt;='CBA Inputs'!$F21,AJ$34&lt;='CBA Inputs'!$G21),'CBA Inputs'!$E21/('CBA Inputs'!$G21-'CBA Inputs'!$F21+1),0)*IF(AJ$34=0,0,1)*CapitalCost_ACTIVE*AJ$31</f>
        <v>0</v>
      </c>
      <c r="AK42" s="181">
        <f>-IF(AND(AK$34&gt;='CBA Inputs'!$F21,AK$34&lt;='CBA Inputs'!$G21),'CBA Inputs'!$E21/('CBA Inputs'!$G21-'CBA Inputs'!$F21+1),0)*IF(AK$34=0,0,1)*CapitalCost_ACTIVE*AK$31</f>
        <v>0</v>
      </c>
      <c r="AL42" s="112"/>
    </row>
    <row r="43" spans="1:38" x14ac:dyDescent="0.35">
      <c r="A43" s="112"/>
      <c r="B43" s="23">
        <f>+'CBA Inputs'!B22</f>
        <v>4</v>
      </c>
      <c r="C43" s="24" t="str">
        <f>+'CBA Inputs'!C22</f>
        <v>Option 1D</v>
      </c>
      <c r="D43" s="24" t="str">
        <f>'CBA Inputs'!D22</f>
        <v>Substation</v>
      </c>
      <c r="E43" s="12" t="s">
        <v>35</v>
      </c>
      <c r="F43" s="181">
        <f t="shared" si="27"/>
        <v>-56032704.668403096</v>
      </c>
      <c r="G43" s="170">
        <f>-IF(AND(G$34&gt;='CBA Inputs'!$F22,G$34&lt;='CBA Inputs'!$G22),'CBA Inputs'!$E22/('CBA Inputs'!$G22-'CBA Inputs'!$F22+1),0)*IF(G$34=0,0,1)*CapitalCost_ACTIVE*G$31</f>
        <v>0</v>
      </c>
      <c r="H43" s="181">
        <f>-IF(AND(H$34&gt;='CBA Inputs'!$F22,H$34&lt;='CBA Inputs'!$G22),'CBA Inputs'!$E22/('CBA Inputs'!$G22-'CBA Inputs'!$F22+1),0)*IF(H$34=0,0,1)*CapitalCost_ACTIVE*H$31</f>
        <v>0</v>
      </c>
      <c r="I43" s="181">
        <f>-IF(AND(I$34&gt;='CBA Inputs'!$F22,I$34&lt;='CBA Inputs'!$G22),'CBA Inputs'!$E22/('CBA Inputs'!$G22-'CBA Inputs'!$F22+1),0)*IF(I$34=0,0,1)*CapitalCost_ACTIVE*I$31</f>
        <v>-59338634.243838876</v>
      </c>
      <c r="J43" s="181">
        <f>-IF(AND(J$34&gt;='CBA Inputs'!$F22,J$34&lt;='CBA Inputs'!$G22),'CBA Inputs'!$E22/('CBA Inputs'!$G22-'CBA Inputs'!$F22+1),0)*IF(J$34=0,0,1)*CapitalCost_ACTIVE*J$31</f>
        <v>0</v>
      </c>
      <c r="K43" s="181">
        <f>-IF(AND(K$34&gt;='CBA Inputs'!$F22,K$34&lt;='CBA Inputs'!$G22),'CBA Inputs'!$E22/('CBA Inputs'!$G22-'CBA Inputs'!$F22+1),0)*IF(K$34=0,0,1)*CapitalCost_ACTIVE*K$31</f>
        <v>0</v>
      </c>
      <c r="L43" s="181">
        <f>-IF(AND(L$34&gt;='CBA Inputs'!$F22,L$34&lt;='CBA Inputs'!$G22),'CBA Inputs'!$E22/('CBA Inputs'!$G22-'CBA Inputs'!$F22+1),0)*IF(L$34=0,0,1)*CapitalCost_ACTIVE*L$31</f>
        <v>0</v>
      </c>
      <c r="M43" s="181">
        <f>-IF(AND(M$34&gt;='CBA Inputs'!$F22,M$34&lt;='CBA Inputs'!$G22),'CBA Inputs'!$E22/('CBA Inputs'!$G22-'CBA Inputs'!$F22+1),0)*IF(M$34=0,0,1)*CapitalCost_ACTIVE*M$31</f>
        <v>0</v>
      </c>
      <c r="N43" s="181">
        <f>-IF(AND(N$34&gt;='CBA Inputs'!$F22,N$34&lt;='CBA Inputs'!$G22),'CBA Inputs'!$E22/('CBA Inputs'!$G22-'CBA Inputs'!$F22+1),0)*IF(N$34=0,0,1)*CapitalCost_ACTIVE*N$31</f>
        <v>0</v>
      </c>
      <c r="O43" s="181">
        <f>-IF(AND(O$34&gt;='CBA Inputs'!$F22,O$34&lt;='CBA Inputs'!$G22),'CBA Inputs'!$E22/('CBA Inputs'!$G22-'CBA Inputs'!$F22+1),0)*IF(O$34=0,0,1)*CapitalCost_ACTIVE*O$31</f>
        <v>0</v>
      </c>
      <c r="P43" s="181">
        <f>-IF(AND(P$34&gt;='CBA Inputs'!$F22,P$34&lt;='CBA Inputs'!$G22),'CBA Inputs'!$E22/('CBA Inputs'!$G22-'CBA Inputs'!$F22+1),0)*IF(P$34=0,0,1)*CapitalCost_ACTIVE*P$31</f>
        <v>0</v>
      </c>
      <c r="Q43" s="181">
        <f>-IF(AND(Q$34&gt;='CBA Inputs'!$F22,Q$34&lt;='CBA Inputs'!$G22),'CBA Inputs'!$E22/('CBA Inputs'!$G22-'CBA Inputs'!$F22+1),0)*IF(Q$34=0,0,1)*CapitalCost_ACTIVE*Q$31</f>
        <v>0</v>
      </c>
      <c r="R43" s="181">
        <f>-IF(AND(R$34&gt;='CBA Inputs'!$F22,R$34&lt;='CBA Inputs'!$G22),'CBA Inputs'!$E22/('CBA Inputs'!$G22-'CBA Inputs'!$F22+1),0)*IF(R$34=0,0,1)*CapitalCost_ACTIVE*R$31</f>
        <v>0</v>
      </c>
      <c r="S43" s="181">
        <f>-IF(AND(S$34&gt;='CBA Inputs'!$F22,S$34&lt;='CBA Inputs'!$G22),'CBA Inputs'!$E22/('CBA Inputs'!$G22-'CBA Inputs'!$F22+1),0)*IF(S$34=0,0,1)*CapitalCost_ACTIVE*S$31</f>
        <v>0</v>
      </c>
      <c r="T43" s="181">
        <f>-IF(AND(T$34&gt;='CBA Inputs'!$F22,T$34&lt;='CBA Inputs'!$G22),'CBA Inputs'!$E22/('CBA Inputs'!$G22-'CBA Inputs'!$F22+1),0)*IF(T$34=0,0,1)*CapitalCost_ACTIVE*T$31</f>
        <v>0</v>
      </c>
      <c r="U43" s="181">
        <f>-IF(AND(U$34&gt;='CBA Inputs'!$F22,U$34&lt;='CBA Inputs'!$G22),'CBA Inputs'!$E22/('CBA Inputs'!$G22-'CBA Inputs'!$F22+1),0)*IF(U$34=0,0,1)*CapitalCost_ACTIVE*U$31</f>
        <v>0</v>
      </c>
      <c r="V43" s="181">
        <f>-IF(AND(V$34&gt;='CBA Inputs'!$F22,V$34&lt;='CBA Inputs'!$G22),'CBA Inputs'!$E22/('CBA Inputs'!$G22-'CBA Inputs'!$F22+1),0)*IF(V$34=0,0,1)*CapitalCost_ACTIVE*V$31</f>
        <v>0</v>
      </c>
      <c r="W43" s="181">
        <f>-IF(AND(W$34&gt;='CBA Inputs'!$F22,W$34&lt;='CBA Inputs'!$G22),'CBA Inputs'!$E22/('CBA Inputs'!$G22-'CBA Inputs'!$F22+1),0)*IF(W$34=0,0,1)*CapitalCost_ACTIVE*W$31</f>
        <v>0</v>
      </c>
      <c r="X43" s="181">
        <f>-IF(AND(X$34&gt;='CBA Inputs'!$F22,X$34&lt;='CBA Inputs'!$G22),'CBA Inputs'!$E22/('CBA Inputs'!$G22-'CBA Inputs'!$F22+1),0)*IF(X$34=0,0,1)*CapitalCost_ACTIVE*X$31</f>
        <v>0</v>
      </c>
      <c r="Y43" s="181">
        <f>-IF(AND(Y$34&gt;='CBA Inputs'!$F22,Y$34&lt;='CBA Inputs'!$G22),'CBA Inputs'!$E22/('CBA Inputs'!$G22-'CBA Inputs'!$F22+1),0)*IF(Y$34=0,0,1)*CapitalCost_ACTIVE*Y$31</f>
        <v>0</v>
      </c>
      <c r="Z43" s="181">
        <f>-IF(AND(Z$34&gt;='CBA Inputs'!$F22,Z$34&lt;='CBA Inputs'!$G22),'CBA Inputs'!$E22/('CBA Inputs'!$G22-'CBA Inputs'!$F22+1),0)*IF(Z$34=0,0,1)*CapitalCost_ACTIVE*Z$31</f>
        <v>0</v>
      </c>
      <c r="AA43" s="181">
        <f>-IF(AND(AA$34&gt;='CBA Inputs'!$F22,AA$34&lt;='CBA Inputs'!$G22),'CBA Inputs'!$E22/('CBA Inputs'!$G22-'CBA Inputs'!$F22+1),0)*IF(AA$34=0,0,1)*CapitalCost_ACTIVE*AA$31</f>
        <v>0</v>
      </c>
      <c r="AB43" s="181">
        <f>-IF(AND(AB$34&gt;='CBA Inputs'!$F22,AB$34&lt;='CBA Inputs'!$G22),'CBA Inputs'!$E22/('CBA Inputs'!$G22-'CBA Inputs'!$F22+1),0)*IF(AB$34=0,0,1)*CapitalCost_ACTIVE*AB$31</f>
        <v>0</v>
      </c>
      <c r="AC43" s="181">
        <f>-IF(AND(AC$34&gt;='CBA Inputs'!$F22,AC$34&lt;='CBA Inputs'!$G22),'CBA Inputs'!$E22/('CBA Inputs'!$G22-'CBA Inputs'!$F22+1),0)*IF(AC$34=0,0,1)*CapitalCost_ACTIVE*AC$31</f>
        <v>0</v>
      </c>
      <c r="AD43" s="181">
        <f>-IF(AND(AD$34&gt;='CBA Inputs'!$F22,AD$34&lt;='CBA Inputs'!$G22),'CBA Inputs'!$E22/('CBA Inputs'!$G22-'CBA Inputs'!$F22+1),0)*IF(AD$34=0,0,1)*CapitalCost_ACTIVE*AD$31</f>
        <v>0</v>
      </c>
      <c r="AE43" s="181">
        <f>-IF(AND(AE$34&gt;='CBA Inputs'!$F22,AE$34&lt;='CBA Inputs'!$G22),'CBA Inputs'!$E22/('CBA Inputs'!$G22-'CBA Inputs'!$F22+1),0)*IF(AE$34=0,0,1)*CapitalCost_ACTIVE*AE$31</f>
        <v>0</v>
      </c>
      <c r="AF43" s="181">
        <f>-IF(AND(AF$34&gt;='CBA Inputs'!$F22,AF$34&lt;='CBA Inputs'!$G22),'CBA Inputs'!$E22/('CBA Inputs'!$G22-'CBA Inputs'!$F22+1),0)*IF(AF$34=0,0,1)*CapitalCost_ACTIVE*AF$31</f>
        <v>0</v>
      </c>
      <c r="AG43" s="181">
        <f>-IF(AND(AG$34&gt;='CBA Inputs'!$F22,AG$34&lt;='CBA Inputs'!$G22),'CBA Inputs'!$E22/('CBA Inputs'!$G22-'CBA Inputs'!$F22+1),0)*IF(AG$34=0,0,1)*CapitalCost_ACTIVE*AG$31</f>
        <v>0</v>
      </c>
      <c r="AH43" s="181">
        <f>-IF(AND(AH$34&gt;='CBA Inputs'!$F22,AH$34&lt;='CBA Inputs'!$G22),'CBA Inputs'!$E22/('CBA Inputs'!$G22-'CBA Inputs'!$F22+1),0)*IF(AH$34=0,0,1)*CapitalCost_ACTIVE*AH$31</f>
        <v>0</v>
      </c>
      <c r="AI43" s="181">
        <f>-IF(AND(AI$34&gt;='CBA Inputs'!$F22,AI$34&lt;='CBA Inputs'!$G22),'CBA Inputs'!$E22/('CBA Inputs'!$G22-'CBA Inputs'!$F22+1),0)*IF(AI$34=0,0,1)*CapitalCost_ACTIVE*AI$31</f>
        <v>0</v>
      </c>
      <c r="AJ43" s="18">
        <f>-IF(AND(AJ$34&gt;='CBA Inputs'!$F22,AJ$34&lt;='CBA Inputs'!$G22),'CBA Inputs'!$E22/('CBA Inputs'!$G22-'CBA Inputs'!$F22+1),0)*IF(AJ$34=0,0,1)*CapitalCost_ACTIVE*AJ$31</f>
        <v>0</v>
      </c>
      <c r="AK43" s="181">
        <f>-IF(AND(AK$34&gt;='CBA Inputs'!$F22,AK$34&lt;='CBA Inputs'!$G22),'CBA Inputs'!$E22/('CBA Inputs'!$G22-'CBA Inputs'!$F22+1),0)*IF(AK$34=0,0,1)*CapitalCost_ACTIVE*AK$31</f>
        <v>0</v>
      </c>
    </row>
    <row r="45" spans="1:38" x14ac:dyDescent="0.35">
      <c r="B45" s="5" t="s">
        <v>47</v>
      </c>
      <c r="C45" s="27"/>
      <c r="D45" s="27"/>
      <c r="E45" s="5"/>
      <c r="F45" s="133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</row>
    <row r="46" spans="1:38" x14ac:dyDescent="0.35">
      <c r="B46" s="7" t="str">
        <f t="shared" ref="B46:C51" si="28">+B38</f>
        <v>Number</v>
      </c>
      <c r="C46" s="10" t="str">
        <f t="shared" si="28"/>
        <v>Option name</v>
      </c>
      <c r="D46" s="10" t="s">
        <v>53</v>
      </c>
      <c r="E46" s="8" t="str">
        <f>+E38</f>
        <v>Units</v>
      </c>
      <c r="F46" s="8" t="str">
        <f>+F38</f>
        <v>PV</v>
      </c>
      <c r="G46" s="13" t="str">
        <f>G$32</f>
        <v>FY 2019-20</v>
      </c>
      <c r="H46" s="13" t="str">
        <f t="shared" ref="H46:AJ46" si="29">H$32</f>
        <v>FY 2020-21</v>
      </c>
      <c r="I46" s="13" t="str">
        <f t="shared" si="29"/>
        <v>FY 2021-22</v>
      </c>
      <c r="J46" s="13" t="str">
        <f t="shared" si="29"/>
        <v>FY 2022-23</v>
      </c>
      <c r="K46" s="13" t="str">
        <f t="shared" si="29"/>
        <v>FY 2023-24</v>
      </c>
      <c r="L46" s="13" t="str">
        <f t="shared" si="29"/>
        <v>FY 2024-25</v>
      </c>
      <c r="M46" s="13" t="str">
        <f t="shared" si="29"/>
        <v>FY 2025-26</v>
      </c>
      <c r="N46" s="13" t="str">
        <f t="shared" si="29"/>
        <v>FY 2026-27</v>
      </c>
      <c r="O46" s="13" t="str">
        <f t="shared" si="29"/>
        <v>FY 2027-28</v>
      </c>
      <c r="P46" s="13" t="str">
        <f t="shared" si="29"/>
        <v>FY 2028-29</v>
      </c>
      <c r="Q46" s="13" t="str">
        <f t="shared" si="29"/>
        <v>FY 2029-30</v>
      </c>
      <c r="R46" s="13" t="str">
        <f t="shared" si="29"/>
        <v>FY 2030-31</v>
      </c>
      <c r="S46" s="13" t="str">
        <f t="shared" si="29"/>
        <v>FY 2031-32</v>
      </c>
      <c r="T46" s="13" t="str">
        <f t="shared" si="29"/>
        <v>FY 2032-33</v>
      </c>
      <c r="U46" s="13" t="str">
        <f t="shared" si="29"/>
        <v>FY 2033-34</v>
      </c>
      <c r="V46" s="13" t="str">
        <f t="shared" si="29"/>
        <v>FY 2034-35</v>
      </c>
      <c r="W46" s="13" t="str">
        <f t="shared" si="29"/>
        <v>FY 2035-36</v>
      </c>
      <c r="X46" s="13" t="str">
        <f t="shared" si="29"/>
        <v>FY 2036-37</v>
      </c>
      <c r="Y46" s="13" t="str">
        <f t="shared" si="29"/>
        <v>FY 2037-38</v>
      </c>
      <c r="Z46" s="13" t="str">
        <f t="shared" si="29"/>
        <v>FY 2038-39</v>
      </c>
      <c r="AA46" s="13" t="str">
        <f t="shared" si="29"/>
        <v>FY 2039-40</v>
      </c>
      <c r="AB46" s="13" t="str">
        <f t="shared" si="29"/>
        <v>FY 2040-41</v>
      </c>
      <c r="AC46" s="13" t="str">
        <f t="shared" si="29"/>
        <v>FY 2041-42</v>
      </c>
      <c r="AD46" s="13" t="str">
        <f t="shared" si="29"/>
        <v>FY 2042-43</v>
      </c>
      <c r="AE46" s="13" t="str">
        <f t="shared" si="29"/>
        <v>FY 2043-44</v>
      </c>
      <c r="AF46" s="13" t="str">
        <f t="shared" si="29"/>
        <v>FY 2044-45</v>
      </c>
      <c r="AG46" s="13" t="str">
        <f t="shared" si="29"/>
        <v>FY 2045-46</v>
      </c>
      <c r="AH46" s="13" t="str">
        <f t="shared" si="29"/>
        <v>FY 2046-47</v>
      </c>
      <c r="AI46" s="13" t="str">
        <f t="shared" si="29"/>
        <v>FY 2047-48</v>
      </c>
      <c r="AJ46" s="13" t="str">
        <f t="shared" si="29"/>
        <v>FY 2048-49</v>
      </c>
    </row>
    <row r="47" spans="1:38" x14ac:dyDescent="0.35">
      <c r="B47" s="9">
        <f t="shared" si="28"/>
        <v>1</v>
      </c>
      <c r="C47" s="25" t="str">
        <f t="shared" si="28"/>
        <v>Option 1A</v>
      </c>
      <c r="D47" s="25" t="str">
        <f>+D39</f>
        <v>Substation</v>
      </c>
      <c r="E47" s="12" t="s">
        <v>35</v>
      </c>
      <c r="F47" s="18">
        <f t="shared" ref="F47:F51" si="30">NPV(DiscountRate_ACTIVE,G47:AJ47)/(1+DiscountRate_ACTIVE)^(FirstYear-BaseYear-2)</f>
        <v>18868841.421225745</v>
      </c>
      <c r="G47" s="181">
        <f>IFERROR(IF(G$34&gt;='CBA Inputs'!$H18,MAX('CBA Inputs'!$E18-'CBA Inputs'!$E18/'CBA Inputs'!$I18*(G$34-'CBA Inputs'!$H18+1),0),0)*IF(G$34=FirstYear+AnalysisPeriod-1,1,0),0)*CapitalCost_ACTIVE*G$31</f>
        <v>0</v>
      </c>
      <c r="H47" s="181">
        <f>IFERROR(IF(H$34&gt;='CBA Inputs'!$H18,MAX('CBA Inputs'!$E18-'CBA Inputs'!$E18/'CBA Inputs'!$I18*(H$34-'CBA Inputs'!$H18+1),0),0)*IF(H$34=FirstYear+AnalysisPeriod-1,1,0),0)*CapitalCost_ACTIVE*H$31</f>
        <v>0</v>
      </c>
      <c r="I47" s="181">
        <f>IFERROR(IF(I$34&gt;='CBA Inputs'!$H18,MAX('CBA Inputs'!$E18-'CBA Inputs'!$E18/'CBA Inputs'!$I18*(I$34-'CBA Inputs'!$H18+1),0),0)*IF(I$34=FirstYear+AnalysisPeriod-1,1,0),0)*CapitalCost_ACTIVE*I$31</f>
        <v>0</v>
      </c>
      <c r="J47" s="181">
        <f>IFERROR(IF(J$34&gt;='CBA Inputs'!$H18,MAX('CBA Inputs'!$E18-'CBA Inputs'!$E18/'CBA Inputs'!$I18*(J$34-'CBA Inputs'!$H18+1),0),0)*IF(J$34=FirstYear+AnalysisPeriod-1,1,0),0)*CapitalCost_ACTIVE*J$31</f>
        <v>0</v>
      </c>
      <c r="K47" s="181">
        <f>IFERROR(IF(K$34&gt;='CBA Inputs'!$H18,MAX('CBA Inputs'!$E18-'CBA Inputs'!$E18/'CBA Inputs'!$I18*(K$34-'CBA Inputs'!$H18+1),0),0)*IF(K$34=FirstYear+AnalysisPeriod-1,1,0),0)*CapitalCost_ACTIVE*K$31</f>
        <v>0</v>
      </c>
      <c r="L47" s="181">
        <f>IFERROR(IF(L$34&gt;='CBA Inputs'!$H18,MAX('CBA Inputs'!$E18-'CBA Inputs'!$E18/'CBA Inputs'!$I18*(L$34-'CBA Inputs'!$H18+1),0),0)*IF(L$34=FirstYear+AnalysisPeriod-1,1,0),0)*CapitalCost_ACTIVE*L$31</f>
        <v>0</v>
      </c>
      <c r="M47" s="181">
        <f>IFERROR(IF(M$34&gt;='CBA Inputs'!$H18,MAX('CBA Inputs'!$E18-'CBA Inputs'!$E18/'CBA Inputs'!$I18*(M$34-'CBA Inputs'!$H18+1),0),0)*IF(M$34=FirstYear+AnalysisPeriod-1,1,0),0)*CapitalCost_ACTIVE*M$31</f>
        <v>0</v>
      </c>
      <c r="N47" s="181">
        <f>IFERROR(IF(N$34&gt;='CBA Inputs'!$H18,MAX('CBA Inputs'!$E18-'CBA Inputs'!$E18/'CBA Inputs'!$I18*(N$34-'CBA Inputs'!$H18+1),0),0)*IF(N$34=FirstYear+AnalysisPeriod-1,1,0),0)*CapitalCost_ACTIVE*N$31</f>
        <v>0</v>
      </c>
      <c r="O47" s="181">
        <f>IFERROR(IF(O$34&gt;='CBA Inputs'!$H18,MAX('CBA Inputs'!$E18-'CBA Inputs'!$E18/'CBA Inputs'!$I18*(O$34-'CBA Inputs'!$H18+1),0),0)*IF(O$34=FirstYear+AnalysisPeriod-1,1,0),0)*CapitalCost_ACTIVE*O$31</f>
        <v>0</v>
      </c>
      <c r="P47" s="181">
        <f>IFERROR(IF(P$34&gt;='CBA Inputs'!$H18,MAX('CBA Inputs'!$E18-'CBA Inputs'!$E18/'CBA Inputs'!$I18*(P$34-'CBA Inputs'!$H18+1),0),0)*IF(P$34=FirstYear+AnalysisPeriod-1,1,0),0)*CapitalCost_ACTIVE*P$31</f>
        <v>0</v>
      </c>
      <c r="Q47" s="181">
        <f>IFERROR(IF(Q$34&gt;='CBA Inputs'!$H18,MAX('CBA Inputs'!$E18-'CBA Inputs'!$E18/'CBA Inputs'!$I18*(Q$34-'CBA Inputs'!$H18+1),0),0)*IF(Q$34=FirstYear+AnalysisPeriod-1,1,0),0)*CapitalCost_ACTIVE*Q$31</f>
        <v>0</v>
      </c>
      <c r="R47" s="181">
        <f>IFERROR(IF(R$34&gt;='CBA Inputs'!$H18,MAX('CBA Inputs'!$E18-'CBA Inputs'!$E18/'CBA Inputs'!$I18*(R$34-'CBA Inputs'!$H18+1),0),0)*IF(R$34=FirstYear+AnalysisPeriod-1,1,0),0)*CapitalCost_ACTIVE*R$31</f>
        <v>0</v>
      </c>
      <c r="S47" s="181">
        <f>IFERROR(IF(S$34&gt;='CBA Inputs'!$H18,MAX('CBA Inputs'!$E18-'CBA Inputs'!$E18/'CBA Inputs'!$I18*(S$34-'CBA Inputs'!$H18+1),0),0)*IF(S$34=FirstYear+AnalysisPeriod-1,1,0),0)*CapitalCost_ACTIVE*S$31</f>
        <v>0</v>
      </c>
      <c r="T47" s="181">
        <f>IFERROR(IF(T$34&gt;='CBA Inputs'!$H18,MAX('CBA Inputs'!$E18-'CBA Inputs'!$E18/'CBA Inputs'!$I18*(T$34-'CBA Inputs'!$H18+1),0),0)*IF(T$34=FirstYear+AnalysisPeriod-1,1,0),0)*CapitalCost_ACTIVE*T$31</f>
        <v>0</v>
      </c>
      <c r="U47" s="181">
        <f>IFERROR(IF(U$34&gt;='CBA Inputs'!$H18,MAX('CBA Inputs'!$E18-'CBA Inputs'!$E18/'CBA Inputs'!$I18*(U$34-'CBA Inputs'!$H18+1),0),0)*IF(U$34=FirstYear+AnalysisPeriod-1,1,0),0)*CapitalCost_ACTIVE*U$31</f>
        <v>0</v>
      </c>
      <c r="V47" s="181">
        <f>IFERROR(IF(V$34&gt;='CBA Inputs'!$H18,MAX('CBA Inputs'!$E18-'CBA Inputs'!$E18/'CBA Inputs'!$I18*(V$34-'CBA Inputs'!$H18+1),0),0)*IF(V$34=FirstYear+AnalysisPeriod-1,1,0),0)*CapitalCost_ACTIVE*V$31</f>
        <v>0</v>
      </c>
      <c r="W47" s="181">
        <f>IFERROR(IF(W$34&gt;='CBA Inputs'!$H18,MAX('CBA Inputs'!$E18-'CBA Inputs'!$E18/'CBA Inputs'!$I18*(W$34-'CBA Inputs'!$H18+1),0),0)*IF(W$34=FirstYear+AnalysisPeriod-1,1,0),0)*CapitalCost_ACTIVE*W$31</f>
        <v>0</v>
      </c>
      <c r="X47" s="181">
        <f>IFERROR(IF(X$34&gt;='CBA Inputs'!$H18,MAX('CBA Inputs'!$E18-'CBA Inputs'!$E18/'CBA Inputs'!$I18*(X$34-'CBA Inputs'!$H18+1),0),0)*IF(X$34=FirstYear+AnalysisPeriod-1,1,0),0)*CapitalCost_ACTIVE*X$31</f>
        <v>0</v>
      </c>
      <c r="Y47" s="181">
        <f>IFERROR(IF(Y$34&gt;='CBA Inputs'!$H18,MAX('CBA Inputs'!$E18-'CBA Inputs'!$E18/'CBA Inputs'!$I18*(Y$34-'CBA Inputs'!$H18+1),0),0)*IF(Y$34=FirstYear+AnalysisPeriod-1,1,0),0)*CapitalCost_ACTIVE*Y$31</f>
        <v>0</v>
      </c>
      <c r="Z47" s="181">
        <f>IFERROR(IF(Z$34&gt;='CBA Inputs'!$H18,MAX('CBA Inputs'!$E18-'CBA Inputs'!$E18/'CBA Inputs'!$I18*(Z$34-'CBA Inputs'!$H18+1),0),0)*IF(Z$34=FirstYear+AnalysisPeriod-1,1,0),0)*CapitalCost_ACTIVE*Z$31</f>
        <v>0</v>
      </c>
      <c r="AA47" s="181">
        <f>IFERROR(IF(AA$34&gt;='CBA Inputs'!$H18,MAX('CBA Inputs'!$E18-'CBA Inputs'!$E18/'CBA Inputs'!$I18*(AA$34-'CBA Inputs'!$H18+1),0),0)*IF(AA$34=FirstYear+AnalysisPeriod-1,1,0),0)*CapitalCost_ACTIVE*AA$31</f>
        <v>0</v>
      </c>
      <c r="AB47" s="181">
        <f>IFERROR(IF(AB$34&gt;='CBA Inputs'!$H18,MAX('CBA Inputs'!$E18-'CBA Inputs'!$E18/'CBA Inputs'!$I18*(AB$34-'CBA Inputs'!$H18+1),0),0)*IF(AB$34=FirstYear+AnalysisPeriod-1,1,0),0)*CapitalCost_ACTIVE*AB$31</f>
        <v>0</v>
      </c>
      <c r="AC47" s="181">
        <f>IFERROR(IF(AC$34&gt;='CBA Inputs'!$H18,MAX('CBA Inputs'!$E18-'CBA Inputs'!$E18/'CBA Inputs'!$I18*(AC$34-'CBA Inputs'!$H18+1),0),0)*IF(AC$34=FirstYear+AnalysisPeriod-1,1,0),0)*CapitalCost_ACTIVE*AC$31</f>
        <v>0</v>
      </c>
      <c r="AD47" s="181">
        <f>IFERROR(IF(AD$34&gt;='CBA Inputs'!$H18,MAX('CBA Inputs'!$E18-'CBA Inputs'!$E18/'CBA Inputs'!$I18*(AD$34-'CBA Inputs'!$H18+1),0),0)*IF(AD$34=FirstYear+AnalysisPeriod-1,1,0),0)*CapitalCost_ACTIVE*AD$31</f>
        <v>0</v>
      </c>
      <c r="AE47" s="181">
        <f>IFERROR(IF(AE$34&gt;='CBA Inputs'!$H18,MAX('CBA Inputs'!$E18-'CBA Inputs'!$E18/'CBA Inputs'!$I18*(AE$34-'CBA Inputs'!$H18+1),0),0)*IF(AE$34=FirstYear+AnalysisPeriod-1,1,0),0)*CapitalCost_ACTIVE*AE$31</f>
        <v>0</v>
      </c>
      <c r="AF47" s="181">
        <f>IFERROR(IF(AF$34&gt;='CBA Inputs'!$H18,MAX('CBA Inputs'!$E18-'CBA Inputs'!$E18/'CBA Inputs'!$I18*(AF$34-'CBA Inputs'!$H18+1),0),0)*IF(AF$34=FirstYear+AnalysisPeriod-1,1,0),0)*CapitalCost_ACTIVE*AF$31</f>
        <v>74687560.968245208</v>
      </c>
      <c r="AG47" s="181">
        <f>IFERROR(IF(AG$34&gt;='CBA Inputs'!$H18,MAX('CBA Inputs'!$E18-'CBA Inputs'!$E18/'CBA Inputs'!$I18*(AG$34-'CBA Inputs'!$H18+1),0),0)*IF(AG$34=FirstYear+AnalysisPeriod-1,1,0),0)*CapitalCost_ACTIVE*AG$31</f>
        <v>0</v>
      </c>
      <c r="AH47" s="181">
        <f>IFERROR(IF(AH$34&gt;='CBA Inputs'!$H18,MAX('CBA Inputs'!$E18-'CBA Inputs'!$E18/'CBA Inputs'!$I18*(AH$34-'CBA Inputs'!$H18+1),0),0)*IF(AH$34=FirstYear+AnalysisPeriod-1,1,0),0)*CapitalCost_ACTIVE*AH$31</f>
        <v>0</v>
      </c>
      <c r="AI47" s="181">
        <f>IFERROR(IF(AI$34&gt;='CBA Inputs'!$H18,MAX('CBA Inputs'!$E18-'CBA Inputs'!$E18/'CBA Inputs'!$I18*(AI$34-'CBA Inputs'!$H18+1),0),0)*IF(AI$34=FirstYear+AnalysisPeriod-1,1,0),0)*CapitalCost_ACTIVE*AI$31</f>
        <v>0</v>
      </c>
      <c r="AJ47" s="181">
        <f>IFERROR(IF(AJ$34&gt;='CBA Inputs'!$H18,MAX('CBA Inputs'!$E18-'CBA Inputs'!$E18/'CBA Inputs'!$I18*(AJ$34-'CBA Inputs'!$H18+1),0),0)*IF(AJ$34=FirstYear+AnalysisPeriod-1,1,0),0)*CapitalCost_ACTIVE*AJ$31</f>
        <v>0</v>
      </c>
      <c r="AK47" s="178"/>
    </row>
    <row r="48" spans="1:38" x14ac:dyDescent="0.35">
      <c r="A48" s="112"/>
      <c r="B48" s="9">
        <f t="shared" si="28"/>
        <v>1</v>
      </c>
      <c r="C48" s="25" t="str">
        <f t="shared" si="28"/>
        <v>Option 1A</v>
      </c>
      <c r="D48" s="25" t="str">
        <f>+D40</f>
        <v>Lines</v>
      </c>
      <c r="E48" s="12" t="s">
        <v>35</v>
      </c>
      <c r="F48" s="18">
        <f t="shared" si="30"/>
        <v>5687205.1943462556</v>
      </c>
      <c r="G48" s="181">
        <f>IFERROR(IF(G$34&gt;='CBA Inputs'!$H19,MAX('CBA Inputs'!$E19-'CBA Inputs'!$E19/'CBA Inputs'!$I19*(G$34-'CBA Inputs'!$H19+1),0),0)*IF(G$34=FirstYear+AnalysisPeriod-1,1,0),0)*CapitalCost_ACTIVE*G$31</f>
        <v>0</v>
      </c>
      <c r="H48" s="181">
        <f>IFERROR(IF(H$34&gt;='CBA Inputs'!$H19,MAX('CBA Inputs'!$E19-'CBA Inputs'!$E19/'CBA Inputs'!$I19*(H$34-'CBA Inputs'!$H19+1),0),0)*IF(H$34=FirstYear+AnalysisPeriod-1,1,0),0)*CapitalCost_ACTIVE*H$31</f>
        <v>0</v>
      </c>
      <c r="I48" s="181">
        <f>IFERROR(IF(I$34&gt;='CBA Inputs'!$H19,MAX('CBA Inputs'!$E19-'CBA Inputs'!$E19/'CBA Inputs'!$I19*(I$34-'CBA Inputs'!$H19+1),0),0)*IF(I$34=FirstYear+AnalysisPeriod-1,1,0),0)*CapitalCost_ACTIVE*I$31</f>
        <v>0</v>
      </c>
      <c r="J48" s="181">
        <f>IFERROR(IF(J$34&gt;='CBA Inputs'!$H19,MAX('CBA Inputs'!$E19-'CBA Inputs'!$E19/'CBA Inputs'!$I19*(J$34-'CBA Inputs'!$H19+1),0),0)*IF(J$34=FirstYear+AnalysisPeriod-1,1,0),0)*CapitalCost_ACTIVE*J$31</f>
        <v>0</v>
      </c>
      <c r="K48" s="181">
        <f>IFERROR(IF(K$34&gt;='CBA Inputs'!$H19,MAX('CBA Inputs'!$E19-'CBA Inputs'!$E19/'CBA Inputs'!$I19*(K$34-'CBA Inputs'!$H19+1),0),0)*IF(K$34=FirstYear+AnalysisPeriod-1,1,0),0)*CapitalCost_ACTIVE*K$31</f>
        <v>0</v>
      </c>
      <c r="L48" s="181">
        <f>IFERROR(IF(L$34&gt;='CBA Inputs'!$H19,MAX('CBA Inputs'!$E19-'CBA Inputs'!$E19/'CBA Inputs'!$I19*(L$34-'CBA Inputs'!$H19+1),0),0)*IF(L$34=FirstYear+AnalysisPeriod-1,1,0),0)*CapitalCost_ACTIVE*L$31</f>
        <v>0</v>
      </c>
      <c r="M48" s="181">
        <f>IFERROR(IF(M$34&gt;='CBA Inputs'!$H19,MAX('CBA Inputs'!$E19-'CBA Inputs'!$E19/'CBA Inputs'!$I19*(M$34-'CBA Inputs'!$H19+1),0),0)*IF(M$34=FirstYear+AnalysisPeriod-1,1,0),0)*CapitalCost_ACTIVE*M$31</f>
        <v>0</v>
      </c>
      <c r="N48" s="181">
        <f>IFERROR(IF(N$34&gt;='CBA Inputs'!$H19,MAX('CBA Inputs'!$E19-'CBA Inputs'!$E19/'CBA Inputs'!$I19*(N$34-'CBA Inputs'!$H19+1),0),0)*IF(N$34=FirstYear+AnalysisPeriod-1,1,0),0)*CapitalCost_ACTIVE*N$31</f>
        <v>0</v>
      </c>
      <c r="O48" s="181">
        <f>IFERROR(IF(O$34&gt;='CBA Inputs'!$H19,MAX('CBA Inputs'!$E19-'CBA Inputs'!$E19/'CBA Inputs'!$I19*(O$34-'CBA Inputs'!$H19+1),0),0)*IF(O$34=FirstYear+AnalysisPeriod-1,1,0),0)*CapitalCost_ACTIVE*O$31</f>
        <v>0</v>
      </c>
      <c r="P48" s="181">
        <f>IFERROR(IF(P$34&gt;='CBA Inputs'!$H19,MAX('CBA Inputs'!$E19-'CBA Inputs'!$E19/'CBA Inputs'!$I19*(P$34-'CBA Inputs'!$H19+1),0),0)*IF(P$34=FirstYear+AnalysisPeriod-1,1,0),0)*CapitalCost_ACTIVE*P$31</f>
        <v>0</v>
      </c>
      <c r="Q48" s="181">
        <f>IFERROR(IF(Q$34&gt;='CBA Inputs'!$H19,MAX('CBA Inputs'!$E19-'CBA Inputs'!$E19/'CBA Inputs'!$I19*(Q$34-'CBA Inputs'!$H19+1),0),0)*IF(Q$34=FirstYear+AnalysisPeriod-1,1,0),0)*CapitalCost_ACTIVE*Q$31</f>
        <v>0</v>
      </c>
      <c r="R48" s="181">
        <f>IFERROR(IF(R$34&gt;='CBA Inputs'!$H19,MAX('CBA Inputs'!$E19-'CBA Inputs'!$E19/'CBA Inputs'!$I19*(R$34-'CBA Inputs'!$H19+1),0),0)*IF(R$34=FirstYear+AnalysisPeriod-1,1,0),0)*CapitalCost_ACTIVE*R$31</f>
        <v>0</v>
      </c>
      <c r="S48" s="181">
        <f>IFERROR(IF(S$34&gt;='CBA Inputs'!$H19,MAX('CBA Inputs'!$E19-'CBA Inputs'!$E19/'CBA Inputs'!$I19*(S$34-'CBA Inputs'!$H19+1),0),0)*IF(S$34=FirstYear+AnalysisPeriod-1,1,0),0)*CapitalCost_ACTIVE*S$31</f>
        <v>0</v>
      </c>
      <c r="T48" s="181">
        <f>IFERROR(IF(T$34&gt;='CBA Inputs'!$H19,MAX('CBA Inputs'!$E19-'CBA Inputs'!$E19/'CBA Inputs'!$I19*(T$34-'CBA Inputs'!$H19+1),0),0)*IF(T$34=FirstYear+AnalysisPeriod-1,1,0),0)*CapitalCost_ACTIVE*T$31</f>
        <v>0</v>
      </c>
      <c r="U48" s="181">
        <f>IFERROR(IF(U$34&gt;='CBA Inputs'!$H19,MAX('CBA Inputs'!$E19-'CBA Inputs'!$E19/'CBA Inputs'!$I19*(U$34-'CBA Inputs'!$H19+1),0),0)*IF(U$34=FirstYear+AnalysisPeriod-1,1,0),0)*CapitalCost_ACTIVE*U$31</f>
        <v>0</v>
      </c>
      <c r="V48" s="181">
        <f>IFERROR(IF(V$34&gt;='CBA Inputs'!$H19,MAX('CBA Inputs'!$E19-'CBA Inputs'!$E19/'CBA Inputs'!$I19*(V$34-'CBA Inputs'!$H19+1),0),0)*IF(V$34=FirstYear+AnalysisPeriod-1,1,0),0)*CapitalCost_ACTIVE*V$31</f>
        <v>0</v>
      </c>
      <c r="W48" s="181">
        <f>IFERROR(IF(W$34&gt;='CBA Inputs'!$H19,MAX('CBA Inputs'!$E19-'CBA Inputs'!$E19/'CBA Inputs'!$I19*(W$34-'CBA Inputs'!$H19+1),0),0)*IF(W$34=FirstYear+AnalysisPeriod-1,1,0),0)*CapitalCost_ACTIVE*W$31</f>
        <v>0</v>
      </c>
      <c r="X48" s="181">
        <f>IFERROR(IF(X$34&gt;='CBA Inputs'!$H19,MAX('CBA Inputs'!$E19-'CBA Inputs'!$E19/'CBA Inputs'!$I19*(X$34-'CBA Inputs'!$H19+1),0),0)*IF(X$34=FirstYear+AnalysisPeriod-1,1,0),0)*CapitalCost_ACTIVE*X$31</f>
        <v>0</v>
      </c>
      <c r="Y48" s="181">
        <f>IFERROR(IF(Y$34&gt;='CBA Inputs'!$H19,MAX('CBA Inputs'!$E19-'CBA Inputs'!$E19/'CBA Inputs'!$I19*(Y$34-'CBA Inputs'!$H19+1),0),0)*IF(Y$34=FirstYear+AnalysisPeriod-1,1,0),0)*CapitalCost_ACTIVE*Y$31</f>
        <v>0</v>
      </c>
      <c r="Z48" s="181">
        <f>IFERROR(IF(Z$34&gt;='CBA Inputs'!$H19,MAX('CBA Inputs'!$E19-'CBA Inputs'!$E19/'CBA Inputs'!$I19*(Z$34-'CBA Inputs'!$H19+1),0),0)*IF(Z$34=FirstYear+AnalysisPeriod-1,1,0),0)*CapitalCost_ACTIVE*Z$31</f>
        <v>0</v>
      </c>
      <c r="AA48" s="181">
        <f>IFERROR(IF(AA$34&gt;='CBA Inputs'!$H19,MAX('CBA Inputs'!$E19-'CBA Inputs'!$E19/'CBA Inputs'!$I19*(AA$34-'CBA Inputs'!$H19+1),0),0)*IF(AA$34=FirstYear+AnalysisPeriod-1,1,0),0)*CapitalCost_ACTIVE*AA$31</f>
        <v>0</v>
      </c>
      <c r="AB48" s="181">
        <f>IFERROR(IF(AB$34&gt;='CBA Inputs'!$H19,MAX('CBA Inputs'!$E19-'CBA Inputs'!$E19/'CBA Inputs'!$I19*(AB$34-'CBA Inputs'!$H19+1),0),0)*IF(AB$34=FirstYear+AnalysisPeriod-1,1,0),0)*CapitalCost_ACTIVE*AB$31</f>
        <v>0</v>
      </c>
      <c r="AC48" s="181">
        <f>IFERROR(IF(AC$34&gt;='CBA Inputs'!$H19,MAX('CBA Inputs'!$E19-'CBA Inputs'!$E19/'CBA Inputs'!$I19*(AC$34-'CBA Inputs'!$H19+1),0),0)*IF(AC$34=FirstYear+AnalysisPeriod-1,1,0),0)*CapitalCost_ACTIVE*AC$31</f>
        <v>0</v>
      </c>
      <c r="AD48" s="181">
        <f>IFERROR(IF(AD$34&gt;='CBA Inputs'!$H19,MAX('CBA Inputs'!$E19-'CBA Inputs'!$E19/'CBA Inputs'!$I19*(AD$34-'CBA Inputs'!$H19+1),0),0)*IF(AD$34=FirstYear+AnalysisPeriod-1,1,0),0)*CapitalCost_ACTIVE*AD$31</f>
        <v>0</v>
      </c>
      <c r="AE48" s="181">
        <f>IFERROR(IF(AE$34&gt;='CBA Inputs'!$H19,MAX('CBA Inputs'!$E19-'CBA Inputs'!$E19/'CBA Inputs'!$I19*(AE$34-'CBA Inputs'!$H19+1),0),0)*IF(AE$34=FirstYear+AnalysisPeriod-1,1,0),0)*CapitalCost_ACTIVE*AE$31</f>
        <v>0</v>
      </c>
      <c r="AF48" s="181">
        <f>IFERROR(IF(AF$34&gt;='CBA Inputs'!$H19,MAX('CBA Inputs'!$E19-'CBA Inputs'!$E19/'CBA Inputs'!$I19*(AF$34-'CBA Inputs'!$H19+1),0),0)*IF(AF$34=FirstYear+AnalysisPeriod-1,1,0),0)*CapitalCost_ACTIVE*AF$31</f>
        <v>22511370.741281241</v>
      </c>
      <c r="AG48" s="181">
        <f>IFERROR(IF(AG$34&gt;='CBA Inputs'!$H19,MAX('CBA Inputs'!$E19-'CBA Inputs'!$E19/'CBA Inputs'!$I19*(AG$34-'CBA Inputs'!$H19+1),0),0)*IF(AG$34=FirstYear+AnalysisPeriod-1,1,0),0)*CapitalCost_ACTIVE*AG$31</f>
        <v>0</v>
      </c>
      <c r="AH48" s="181">
        <f>IFERROR(IF(AH$34&gt;='CBA Inputs'!$H19,MAX('CBA Inputs'!$E19-'CBA Inputs'!$E19/'CBA Inputs'!$I19*(AH$34-'CBA Inputs'!$H19+1),0),0)*IF(AH$34=FirstYear+AnalysisPeriod-1,1,0),0)*CapitalCost_ACTIVE*AH$31</f>
        <v>0</v>
      </c>
      <c r="AI48" s="181">
        <f>IFERROR(IF(AI$34&gt;='CBA Inputs'!$H19,MAX('CBA Inputs'!$E19-'CBA Inputs'!$E19/'CBA Inputs'!$I19*(AI$34-'CBA Inputs'!$H19+1),0),0)*IF(AI$34=FirstYear+AnalysisPeriod-1,1,0),0)*CapitalCost_ACTIVE*AI$31</f>
        <v>0</v>
      </c>
      <c r="AJ48" s="181">
        <f>IFERROR(IF(AJ$34&gt;='CBA Inputs'!$H19,MAX('CBA Inputs'!$E19-'CBA Inputs'!$E19/'CBA Inputs'!$I19*(AJ$34-'CBA Inputs'!$H19+1),0),0)*IF(AJ$34=FirstYear+AnalysisPeriod-1,1,0),0)*CapitalCost_ACTIVE*AJ$31</f>
        <v>0</v>
      </c>
      <c r="AK48" s="178"/>
    </row>
    <row r="49" spans="2:41" x14ac:dyDescent="0.35">
      <c r="B49" s="9">
        <f t="shared" si="28"/>
        <v>2</v>
      </c>
      <c r="C49" s="25" t="str">
        <f t="shared" si="28"/>
        <v>Option 1B</v>
      </c>
      <c r="D49" s="25" t="str">
        <f>+D41</f>
        <v>Lines</v>
      </c>
      <c r="E49" s="12" t="s">
        <v>35</v>
      </c>
      <c r="F49" s="18">
        <f t="shared" si="30"/>
        <v>5687205.1943462556</v>
      </c>
      <c r="G49" s="181">
        <f>IFERROR(IF(G$34&gt;='CBA Inputs'!$H20,MAX('CBA Inputs'!$E20-'CBA Inputs'!$E20/'CBA Inputs'!$I20*(G$34-'CBA Inputs'!$H20+1),0),0)*IF(G$34=FirstYear+AnalysisPeriod-1,1,0),0)*CapitalCost_ACTIVE*G$31</f>
        <v>0</v>
      </c>
      <c r="H49" s="181">
        <f>IFERROR(IF(H$34&gt;='CBA Inputs'!$H20,MAX('CBA Inputs'!$E20-'CBA Inputs'!$E20/'CBA Inputs'!$I20*(H$34-'CBA Inputs'!$H20+1),0),0)*IF(H$34=FirstYear+AnalysisPeriod-1,1,0),0)*CapitalCost_ACTIVE*H$31</f>
        <v>0</v>
      </c>
      <c r="I49" s="181">
        <f>IFERROR(IF(I$34&gt;='CBA Inputs'!$H20,MAX('CBA Inputs'!$E20-'CBA Inputs'!$E20/'CBA Inputs'!$I20*(I$34-'CBA Inputs'!$H20+1),0),0)*IF(I$34=FirstYear+AnalysisPeriod-1,1,0),0)*CapitalCost_ACTIVE*I$31</f>
        <v>0</v>
      </c>
      <c r="J49" s="181">
        <f>IFERROR(IF(J$34&gt;='CBA Inputs'!$H20,MAX('CBA Inputs'!$E20-'CBA Inputs'!$E20/'CBA Inputs'!$I20*(J$34-'CBA Inputs'!$H20+1),0),0)*IF(J$34=FirstYear+AnalysisPeriod-1,1,0),0)*CapitalCost_ACTIVE*J$31</f>
        <v>0</v>
      </c>
      <c r="K49" s="181">
        <f>IFERROR(IF(K$34&gt;='CBA Inputs'!$H20,MAX('CBA Inputs'!$E20-'CBA Inputs'!$E20/'CBA Inputs'!$I20*(K$34-'CBA Inputs'!$H20+1),0),0)*IF(K$34=FirstYear+AnalysisPeriod-1,1,0),0)*CapitalCost_ACTIVE*K$31</f>
        <v>0</v>
      </c>
      <c r="L49" s="181">
        <f>IFERROR(IF(L$34&gt;='CBA Inputs'!$H20,MAX('CBA Inputs'!$E20-'CBA Inputs'!$E20/'CBA Inputs'!$I20*(L$34-'CBA Inputs'!$H20+1),0),0)*IF(L$34=FirstYear+AnalysisPeriod-1,1,0),0)*CapitalCost_ACTIVE*L$31</f>
        <v>0</v>
      </c>
      <c r="M49" s="181">
        <f>IFERROR(IF(M$34&gt;='CBA Inputs'!$H20,MAX('CBA Inputs'!$E20-'CBA Inputs'!$E20/'CBA Inputs'!$I20*(M$34-'CBA Inputs'!$H20+1),0),0)*IF(M$34=FirstYear+AnalysisPeriod-1,1,0),0)*CapitalCost_ACTIVE*M$31</f>
        <v>0</v>
      </c>
      <c r="N49" s="181">
        <f>IFERROR(IF(N$34&gt;='CBA Inputs'!$H20,MAX('CBA Inputs'!$E20-'CBA Inputs'!$E20/'CBA Inputs'!$I20*(N$34-'CBA Inputs'!$H20+1),0),0)*IF(N$34=FirstYear+AnalysisPeriod-1,1,0),0)*CapitalCost_ACTIVE*N$31</f>
        <v>0</v>
      </c>
      <c r="O49" s="181">
        <f>IFERROR(IF(O$34&gt;='CBA Inputs'!$H20,MAX('CBA Inputs'!$E20-'CBA Inputs'!$E20/'CBA Inputs'!$I20*(O$34-'CBA Inputs'!$H20+1),0),0)*IF(O$34=FirstYear+AnalysisPeriod-1,1,0),0)*CapitalCost_ACTIVE*O$31</f>
        <v>0</v>
      </c>
      <c r="P49" s="181">
        <f>IFERROR(IF(P$34&gt;='CBA Inputs'!$H20,MAX('CBA Inputs'!$E20-'CBA Inputs'!$E20/'CBA Inputs'!$I20*(P$34-'CBA Inputs'!$H20+1),0),0)*IF(P$34=FirstYear+AnalysisPeriod-1,1,0),0)*CapitalCost_ACTIVE*P$31</f>
        <v>0</v>
      </c>
      <c r="Q49" s="181">
        <f>IFERROR(IF(Q$34&gt;='CBA Inputs'!$H20,MAX('CBA Inputs'!$E20-'CBA Inputs'!$E20/'CBA Inputs'!$I20*(Q$34-'CBA Inputs'!$H20+1),0),0)*IF(Q$34=FirstYear+AnalysisPeriod-1,1,0),0)*CapitalCost_ACTIVE*Q$31</f>
        <v>0</v>
      </c>
      <c r="R49" s="181">
        <f>IFERROR(IF(R$34&gt;='CBA Inputs'!$H20,MAX('CBA Inputs'!$E20-'CBA Inputs'!$E20/'CBA Inputs'!$I20*(R$34-'CBA Inputs'!$H20+1),0),0)*IF(R$34=FirstYear+AnalysisPeriod-1,1,0),0)*CapitalCost_ACTIVE*R$31</f>
        <v>0</v>
      </c>
      <c r="S49" s="181">
        <f>IFERROR(IF(S$34&gt;='CBA Inputs'!$H20,MAX('CBA Inputs'!$E20-'CBA Inputs'!$E20/'CBA Inputs'!$I20*(S$34-'CBA Inputs'!$H20+1),0),0)*IF(S$34=FirstYear+AnalysisPeriod-1,1,0),0)*CapitalCost_ACTIVE*S$31</f>
        <v>0</v>
      </c>
      <c r="T49" s="181">
        <f>IFERROR(IF(T$34&gt;='CBA Inputs'!$H20,MAX('CBA Inputs'!$E20-'CBA Inputs'!$E20/'CBA Inputs'!$I20*(T$34-'CBA Inputs'!$H20+1),0),0)*IF(T$34=FirstYear+AnalysisPeriod-1,1,0),0)*CapitalCost_ACTIVE*T$31</f>
        <v>0</v>
      </c>
      <c r="U49" s="181">
        <f>IFERROR(IF(U$34&gt;='CBA Inputs'!$H20,MAX('CBA Inputs'!$E20-'CBA Inputs'!$E20/'CBA Inputs'!$I20*(U$34-'CBA Inputs'!$H20+1),0),0)*IF(U$34=FirstYear+AnalysisPeriod-1,1,0),0)*CapitalCost_ACTIVE*U$31</f>
        <v>0</v>
      </c>
      <c r="V49" s="181">
        <f>IFERROR(IF(V$34&gt;='CBA Inputs'!$H20,MAX('CBA Inputs'!$E20-'CBA Inputs'!$E20/'CBA Inputs'!$I20*(V$34-'CBA Inputs'!$H20+1),0),0)*IF(V$34=FirstYear+AnalysisPeriod-1,1,0),0)*CapitalCost_ACTIVE*V$31</f>
        <v>0</v>
      </c>
      <c r="W49" s="181">
        <f>IFERROR(IF(W$34&gt;='CBA Inputs'!$H20,MAX('CBA Inputs'!$E20-'CBA Inputs'!$E20/'CBA Inputs'!$I20*(W$34-'CBA Inputs'!$H20+1),0),0)*IF(W$34=FirstYear+AnalysisPeriod-1,1,0),0)*CapitalCost_ACTIVE*W$31</f>
        <v>0</v>
      </c>
      <c r="X49" s="181">
        <f>IFERROR(IF(X$34&gt;='CBA Inputs'!$H20,MAX('CBA Inputs'!$E20-'CBA Inputs'!$E20/'CBA Inputs'!$I20*(X$34-'CBA Inputs'!$H20+1),0),0)*IF(X$34=FirstYear+AnalysisPeriod-1,1,0),0)*CapitalCost_ACTIVE*X$31</f>
        <v>0</v>
      </c>
      <c r="Y49" s="181">
        <f>IFERROR(IF(Y$34&gt;='CBA Inputs'!$H20,MAX('CBA Inputs'!$E20-'CBA Inputs'!$E20/'CBA Inputs'!$I20*(Y$34-'CBA Inputs'!$H20+1),0),0)*IF(Y$34=FirstYear+AnalysisPeriod-1,1,0),0)*CapitalCost_ACTIVE*Y$31</f>
        <v>0</v>
      </c>
      <c r="Z49" s="181">
        <f>IFERROR(IF(Z$34&gt;='CBA Inputs'!$H20,MAX('CBA Inputs'!$E20-'CBA Inputs'!$E20/'CBA Inputs'!$I20*(Z$34-'CBA Inputs'!$H20+1),0),0)*IF(Z$34=FirstYear+AnalysisPeriod-1,1,0),0)*CapitalCost_ACTIVE*Z$31</f>
        <v>0</v>
      </c>
      <c r="AA49" s="181">
        <f>IFERROR(IF(AA$34&gt;='CBA Inputs'!$H20,MAX('CBA Inputs'!$E20-'CBA Inputs'!$E20/'CBA Inputs'!$I20*(AA$34-'CBA Inputs'!$H20+1),0),0)*IF(AA$34=FirstYear+AnalysisPeriod-1,1,0),0)*CapitalCost_ACTIVE*AA$31</f>
        <v>0</v>
      </c>
      <c r="AB49" s="181">
        <f>IFERROR(IF(AB$34&gt;='CBA Inputs'!$H20,MAX('CBA Inputs'!$E20-'CBA Inputs'!$E20/'CBA Inputs'!$I20*(AB$34-'CBA Inputs'!$H20+1),0),0)*IF(AB$34=FirstYear+AnalysisPeriod-1,1,0),0)*CapitalCost_ACTIVE*AB$31</f>
        <v>0</v>
      </c>
      <c r="AC49" s="181">
        <f>IFERROR(IF(AC$34&gt;='CBA Inputs'!$H20,MAX('CBA Inputs'!$E20-'CBA Inputs'!$E20/'CBA Inputs'!$I20*(AC$34-'CBA Inputs'!$H20+1),0),0)*IF(AC$34=FirstYear+AnalysisPeriod-1,1,0),0)*CapitalCost_ACTIVE*AC$31</f>
        <v>0</v>
      </c>
      <c r="AD49" s="181">
        <f>IFERROR(IF(AD$34&gt;='CBA Inputs'!$H20,MAX('CBA Inputs'!$E20-'CBA Inputs'!$E20/'CBA Inputs'!$I20*(AD$34-'CBA Inputs'!$H20+1),0),0)*IF(AD$34=FirstYear+AnalysisPeriod-1,1,0),0)*CapitalCost_ACTIVE*AD$31</f>
        <v>0</v>
      </c>
      <c r="AE49" s="181">
        <f>IFERROR(IF(AE$34&gt;='CBA Inputs'!$H20,MAX('CBA Inputs'!$E20-'CBA Inputs'!$E20/'CBA Inputs'!$I20*(AE$34-'CBA Inputs'!$H20+1),0),0)*IF(AE$34=FirstYear+AnalysisPeriod-1,1,0),0)*CapitalCost_ACTIVE*AE$31</f>
        <v>0</v>
      </c>
      <c r="AF49" s="181">
        <f>IFERROR(IF(AF$34&gt;='CBA Inputs'!$H20,MAX('CBA Inputs'!$E20-'CBA Inputs'!$E20/'CBA Inputs'!$I20*(AF$34-'CBA Inputs'!$H20+1),0),0)*IF(AF$34=FirstYear+AnalysisPeriod-1,1,0),0)*CapitalCost_ACTIVE*AF$31</f>
        <v>22511370.741281241</v>
      </c>
      <c r="AG49" s="181">
        <f>IFERROR(IF(AG$34&gt;='CBA Inputs'!$H20,MAX('CBA Inputs'!$E20-'CBA Inputs'!$E20/'CBA Inputs'!$I20*(AG$34-'CBA Inputs'!$H20+1),0),0)*IF(AG$34=FirstYear+AnalysisPeriod-1,1,0),0)*CapitalCost_ACTIVE*AG$31</f>
        <v>0</v>
      </c>
      <c r="AH49" s="181">
        <f>IFERROR(IF(AH$34&gt;='CBA Inputs'!$H20,MAX('CBA Inputs'!$E20-'CBA Inputs'!$E20/'CBA Inputs'!$I20*(AH$34-'CBA Inputs'!$H20+1),0),0)*IF(AH$34=FirstYear+AnalysisPeriod-1,1,0),0)*CapitalCost_ACTIVE*AH$31</f>
        <v>0</v>
      </c>
      <c r="AI49" s="181">
        <f>IFERROR(IF(AI$34&gt;='CBA Inputs'!$H20,MAX('CBA Inputs'!$E20-'CBA Inputs'!$E20/'CBA Inputs'!$I20*(AI$34-'CBA Inputs'!$H20+1),0),0)*IF(AI$34=FirstYear+AnalysisPeriod-1,1,0),0)*CapitalCost_ACTIVE*AI$31</f>
        <v>0</v>
      </c>
      <c r="AJ49" s="181">
        <f>IFERROR(IF(AJ$34&gt;='CBA Inputs'!$H20,MAX('CBA Inputs'!$E20-'CBA Inputs'!$E20/'CBA Inputs'!$I20*(AJ$34-'CBA Inputs'!$H20+1),0),0)*IF(AJ$34=FirstYear+AnalysisPeriod-1,1,0),0)*CapitalCost_ACTIVE*AJ$31</f>
        <v>0</v>
      </c>
      <c r="AK49" s="178"/>
    </row>
    <row r="50" spans="2:41" x14ac:dyDescent="0.35">
      <c r="B50" s="9">
        <f t="shared" si="28"/>
        <v>3</v>
      </c>
      <c r="C50" s="25" t="str">
        <f t="shared" si="28"/>
        <v>Option 1C</v>
      </c>
      <c r="D50" s="25" t="str">
        <f>+D42</f>
        <v>Substation</v>
      </c>
      <c r="E50" s="12" t="s">
        <v>35</v>
      </c>
      <c r="F50" s="18">
        <f t="shared" si="30"/>
        <v>18868841.421225745</v>
      </c>
      <c r="G50" s="181">
        <f>IFERROR(IF(G$34&gt;='CBA Inputs'!$H21,MAX('CBA Inputs'!$E21-'CBA Inputs'!$E21/'CBA Inputs'!$I21*(G$34-'CBA Inputs'!$H21+1),0),0)*IF(G$34=FirstYear+AnalysisPeriod-1,1,0),0)*CapitalCost_ACTIVE*G$31</f>
        <v>0</v>
      </c>
      <c r="H50" s="181">
        <f>IFERROR(IF(H$34&gt;='CBA Inputs'!$H21,MAX('CBA Inputs'!$E21-'CBA Inputs'!$E21/'CBA Inputs'!$I21*(H$34-'CBA Inputs'!$H21+1),0),0)*IF(H$34=FirstYear+AnalysisPeriod-1,1,0),0)*CapitalCost_ACTIVE*H$31</f>
        <v>0</v>
      </c>
      <c r="I50" s="181">
        <f>IFERROR(IF(I$34&gt;='CBA Inputs'!$H21,MAX('CBA Inputs'!$E21-'CBA Inputs'!$E21/'CBA Inputs'!$I21*(I$34-'CBA Inputs'!$H21+1),0),0)*IF(I$34=FirstYear+AnalysisPeriod-1,1,0),0)*CapitalCost_ACTIVE*I$31</f>
        <v>0</v>
      </c>
      <c r="J50" s="181">
        <f>IFERROR(IF(J$34&gt;='CBA Inputs'!$H21,MAX('CBA Inputs'!$E21-'CBA Inputs'!$E21/'CBA Inputs'!$I21*(J$34-'CBA Inputs'!$H21+1),0),0)*IF(J$34=FirstYear+AnalysisPeriod-1,1,0),0)*CapitalCost_ACTIVE*J$31</f>
        <v>0</v>
      </c>
      <c r="K50" s="181">
        <f>IFERROR(IF(K$34&gt;='CBA Inputs'!$H21,MAX('CBA Inputs'!$E21-'CBA Inputs'!$E21/'CBA Inputs'!$I21*(K$34-'CBA Inputs'!$H21+1),0),0)*IF(K$34=FirstYear+AnalysisPeriod-1,1,0),0)*CapitalCost_ACTIVE*K$31</f>
        <v>0</v>
      </c>
      <c r="L50" s="181">
        <f>IFERROR(IF(L$34&gt;='CBA Inputs'!$H21,MAX('CBA Inputs'!$E21-'CBA Inputs'!$E21/'CBA Inputs'!$I21*(L$34-'CBA Inputs'!$H21+1),0),0)*IF(L$34=FirstYear+AnalysisPeriod-1,1,0),0)*CapitalCost_ACTIVE*L$31</f>
        <v>0</v>
      </c>
      <c r="M50" s="181">
        <f>IFERROR(IF(M$34&gt;='CBA Inputs'!$H21,MAX('CBA Inputs'!$E21-'CBA Inputs'!$E21/'CBA Inputs'!$I21*(M$34-'CBA Inputs'!$H21+1),0),0)*IF(M$34=FirstYear+AnalysisPeriod-1,1,0),0)*CapitalCost_ACTIVE*M$31</f>
        <v>0</v>
      </c>
      <c r="N50" s="181">
        <f>IFERROR(IF(N$34&gt;='CBA Inputs'!$H21,MAX('CBA Inputs'!$E21-'CBA Inputs'!$E21/'CBA Inputs'!$I21*(N$34-'CBA Inputs'!$H21+1),0),0)*IF(N$34=FirstYear+AnalysisPeriod-1,1,0),0)*CapitalCost_ACTIVE*N$31</f>
        <v>0</v>
      </c>
      <c r="O50" s="181">
        <f>IFERROR(IF(O$34&gt;='CBA Inputs'!$H21,MAX('CBA Inputs'!$E21-'CBA Inputs'!$E21/'CBA Inputs'!$I21*(O$34-'CBA Inputs'!$H21+1),0),0)*IF(O$34=FirstYear+AnalysisPeriod-1,1,0),0)*CapitalCost_ACTIVE*O$31</f>
        <v>0</v>
      </c>
      <c r="P50" s="181">
        <f>IFERROR(IF(P$34&gt;='CBA Inputs'!$H21,MAX('CBA Inputs'!$E21-'CBA Inputs'!$E21/'CBA Inputs'!$I21*(P$34-'CBA Inputs'!$H21+1),0),0)*IF(P$34=FirstYear+AnalysisPeriod-1,1,0),0)*CapitalCost_ACTIVE*P$31</f>
        <v>0</v>
      </c>
      <c r="Q50" s="181">
        <f>IFERROR(IF(Q$34&gt;='CBA Inputs'!$H21,MAX('CBA Inputs'!$E21-'CBA Inputs'!$E21/'CBA Inputs'!$I21*(Q$34-'CBA Inputs'!$H21+1),0),0)*IF(Q$34=FirstYear+AnalysisPeriod-1,1,0),0)*CapitalCost_ACTIVE*Q$31</f>
        <v>0</v>
      </c>
      <c r="R50" s="181">
        <f>IFERROR(IF(R$34&gt;='CBA Inputs'!$H21,MAX('CBA Inputs'!$E21-'CBA Inputs'!$E21/'CBA Inputs'!$I21*(R$34-'CBA Inputs'!$H21+1),0),0)*IF(R$34=FirstYear+AnalysisPeriod-1,1,0),0)*CapitalCost_ACTIVE*R$31</f>
        <v>0</v>
      </c>
      <c r="S50" s="181">
        <f>IFERROR(IF(S$34&gt;='CBA Inputs'!$H21,MAX('CBA Inputs'!$E21-'CBA Inputs'!$E21/'CBA Inputs'!$I21*(S$34-'CBA Inputs'!$H21+1),0),0)*IF(S$34=FirstYear+AnalysisPeriod-1,1,0),0)*CapitalCost_ACTIVE*S$31</f>
        <v>0</v>
      </c>
      <c r="T50" s="181">
        <f>IFERROR(IF(T$34&gt;='CBA Inputs'!$H21,MAX('CBA Inputs'!$E21-'CBA Inputs'!$E21/'CBA Inputs'!$I21*(T$34-'CBA Inputs'!$H21+1),0),0)*IF(T$34=FirstYear+AnalysisPeriod-1,1,0),0)*CapitalCost_ACTIVE*T$31</f>
        <v>0</v>
      </c>
      <c r="U50" s="181">
        <f>IFERROR(IF(U$34&gt;='CBA Inputs'!$H21,MAX('CBA Inputs'!$E21-'CBA Inputs'!$E21/'CBA Inputs'!$I21*(U$34-'CBA Inputs'!$H21+1),0),0)*IF(U$34=FirstYear+AnalysisPeriod-1,1,0),0)*CapitalCost_ACTIVE*U$31</f>
        <v>0</v>
      </c>
      <c r="V50" s="181">
        <f>IFERROR(IF(V$34&gt;='CBA Inputs'!$H21,MAX('CBA Inputs'!$E21-'CBA Inputs'!$E21/'CBA Inputs'!$I21*(V$34-'CBA Inputs'!$H21+1),0),0)*IF(V$34=FirstYear+AnalysisPeriod-1,1,0),0)*CapitalCost_ACTIVE*V$31</f>
        <v>0</v>
      </c>
      <c r="W50" s="181">
        <f>IFERROR(IF(W$34&gt;='CBA Inputs'!$H21,MAX('CBA Inputs'!$E21-'CBA Inputs'!$E21/'CBA Inputs'!$I21*(W$34-'CBA Inputs'!$H21+1),0),0)*IF(W$34=FirstYear+AnalysisPeriod-1,1,0),0)*CapitalCost_ACTIVE*W$31</f>
        <v>0</v>
      </c>
      <c r="X50" s="181">
        <f>IFERROR(IF(X$34&gt;='CBA Inputs'!$H21,MAX('CBA Inputs'!$E21-'CBA Inputs'!$E21/'CBA Inputs'!$I21*(X$34-'CBA Inputs'!$H21+1),0),0)*IF(X$34=FirstYear+AnalysisPeriod-1,1,0),0)*CapitalCost_ACTIVE*X$31</f>
        <v>0</v>
      </c>
      <c r="Y50" s="181">
        <f>IFERROR(IF(Y$34&gt;='CBA Inputs'!$H21,MAX('CBA Inputs'!$E21-'CBA Inputs'!$E21/'CBA Inputs'!$I21*(Y$34-'CBA Inputs'!$H21+1),0),0)*IF(Y$34=FirstYear+AnalysisPeriod-1,1,0),0)*CapitalCost_ACTIVE*Y$31</f>
        <v>0</v>
      </c>
      <c r="Z50" s="181">
        <f>IFERROR(IF(Z$34&gt;='CBA Inputs'!$H21,MAX('CBA Inputs'!$E21-'CBA Inputs'!$E21/'CBA Inputs'!$I21*(Z$34-'CBA Inputs'!$H21+1),0),0)*IF(Z$34=FirstYear+AnalysisPeriod-1,1,0),0)*CapitalCost_ACTIVE*Z$31</f>
        <v>0</v>
      </c>
      <c r="AA50" s="181">
        <f>IFERROR(IF(AA$34&gt;='CBA Inputs'!$H21,MAX('CBA Inputs'!$E21-'CBA Inputs'!$E21/'CBA Inputs'!$I21*(AA$34-'CBA Inputs'!$H21+1),0),0)*IF(AA$34=FirstYear+AnalysisPeriod-1,1,0),0)*CapitalCost_ACTIVE*AA$31</f>
        <v>0</v>
      </c>
      <c r="AB50" s="181">
        <f>IFERROR(IF(AB$34&gt;='CBA Inputs'!$H21,MAX('CBA Inputs'!$E21-'CBA Inputs'!$E21/'CBA Inputs'!$I21*(AB$34-'CBA Inputs'!$H21+1),0),0)*IF(AB$34=FirstYear+AnalysisPeriod-1,1,0),0)*CapitalCost_ACTIVE*AB$31</f>
        <v>0</v>
      </c>
      <c r="AC50" s="181">
        <f>IFERROR(IF(AC$34&gt;='CBA Inputs'!$H21,MAX('CBA Inputs'!$E21-'CBA Inputs'!$E21/'CBA Inputs'!$I21*(AC$34-'CBA Inputs'!$H21+1),0),0)*IF(AC$34=FirstYear+AnalysisPeriod-1,1,0),0)*CapitalCost_ACTIVE*AC$31</f>
        <v>0</v>
      </c>
      <c r="AD50" s="181">
        <f>IFERROR(IF(AD$34&gt;='CBA Inputs'!$H21,MAX('CBA Inputs'!$E21-'CBA Inputs'!$E21/'CBA Inputs'!$I21*(AD$34-'CBA Inputs'!$H21+1),0),0)*IF(AD$34=FirstYear+AnalysisPeriod-1,1,0),0)*CapitalCost_ACTIVE*AD$31</f>
        <v>0</v>
      </c>
      <c r="AE50" s="181">
        <f>IFERROR(IF(AE$34&gt;='CBA Inputs'!$H21,MAX('CBA Inputs'!$E21-'CBA Inputs'!$E21/'CBA Inputs'!$I21*(AE$34-'CBA Inputs'!$H21+1),0),0)*IF(AE$34=FirstYear+AnalysisPeriod-1,1,0),0)*CapitalCost_ACTIVE*AE$31</f>
        <v>0</v>
      </c>
      <c r="AF50" s="181">
        <f>IFERROR(IF(AF$34&gt;='CBA Inputs'!$H21,MAX('CBA Inputs'!$E21-'CBA Inputs'!$E21/'CBA Inputs'!$I21*(AF$34-'CBA Inputs'!$H21+1),0),0)*IF(AF$34=FirstYear+AnalysisPeriod-1,1,0),0)*CapitalCost_ACTIVE*AF$31</f>
        <v>74687560.968245208</v>
      </c>
      <c r="AG50" s="181">
        <f>IFERROR(IF(AG$34&gt;='CBA Inputs'!$H21,MAX('CBA Inputs'!$E21-'CBA Inputs'!$E21/'CBA Inputs'!$I21*(AG$34-'CBA Inputs'!$H21+1),0),0)*IF(AG$34=FirstYear+AnalysisPeriod-1,1,0),0)*CapitalCost_ACTIVE*AG$31</f>
        <v>0</v>
      </c>
      <c r="AH50" s="181">
        <f>IFERROR(IF(AH$34&gt;='CBA Inputs'!$H21,MAX('CBA Inputs'!$E21-'CBA Inputs'!$E21/'CBA Inputs'!$I21*(AH$34-'CBA Inputs'!$H21+1),0),0)*IF(AH$34=FirstYear+AnalysisPeriod-1,1,0),0)*CapitalCost_ACTIVE*AH$31</f>
        <v>0</v>
      </c>
      <c r="AI50" s="181">
        <f>IFERROR(IF(AI$34&gt;='CBA Inputs'!$H21,MAX('CBA Inputs'!$E21-'CBA Inputs'!$E21/'CBA Inputs'!$I21*(AI$34-'CBA Inputs'!$H21+1),0),0)*IF(AI$34=FirstYear+AnalysisPeriod-1,1,0),0)*CapitalCost_ACTIVE*AI$31</f>
        <v>0</v>
      </c>
      <c r="AJ50" s="181">
        <f>IFERROR(IF(AJ$34&gt;='CBA Inputs'!$H21,MAX('CBA Inputs'!$E21-'CBA Inputs'!$E21/'CBA Inputs'!$I21*(AJ$34-'CBA Inputs'!$H21+1),0),0)*IF(AJ$34=FirstYear+AnalysisPeriod-1,1,0),0)*CapitalCost_ACTIVE*AJ$31</f>
        <v>0</v>
      </c>
      <c r="AK50" s="178"/>
    </row>
    <row r="51" spans="2:41" x14ac:dyDescent="0.35">
      <c r="B51" s="9">
        <f t="shared" si="28"/>
        <v>4</v>
      </c>
      <c r="C51" s="25" t="str">
        <f t="shared" si="28"/>
        <v>Option 1D</v>
      </c>
      <c r="D51" s="25" t="str">
        <f>+D43</f>
        <v>Substation</v>
      </c>
      <c r="E51" s="12" t="s">
        <v>35</v>
      </c>
      <c r="F51" s="18">
        <f t="shared" si="30"/>
        <v>5996453.8414912308</v>
      </c>
      <c r="G51" s="181">
        <f>IFERROR(IF(G$34&gt;='CBA Inputs'!$H22,MAX('CBA Inputs'!$E22-'CBA Inputs'!$E22/'CBA Inputs'!$I22*(G$34-'CBA Inputs'!$H22+1),0),0)*IF(G$34=FirstYear+AnalysisPeriod-1,1,0),0)*CapitalCost_ACTIVE*G$31</f>
        <v>0</v>
      </c>
      <c r="H51" s="181">
        <f>IFERROR(IF(H$34&gt;='CBA Inputs'!$H22,MAX('CBA Inputs'!$E22-'CBA Inputs'!$E22/'CBA Inputs'!$I22*(H$34-'CBA Inputs'!$H22+1),0),0)*IF(H$34=FirstYear+AnalysisPeriod-1,1,0),0)*CapitalCost_ACTIVE*H$31</f>
        <v>0</v>
      </c>
      <c r="I51" s="181">
        <f>IFERROR(IF(I$34&gt;='CBA Inputs'!$H22,MAX('CBA Inputs'!$E22-'CBA Inputs'!$E22/'CBA Inputs'!$I22*(I$34-'CBA Inputs'!$H22+1),0),0)*IF(I$34=FirstYear+AnalysisPeriod-1,1,0),0)*CapitalCost_ACTIVE*I$31</f>
        <v>0</v>
      </c>
      <c r="J51" s="181">
        <f>IFERROR(IF(J$34&gt;='CBA Inputs'!$H22,MAX('CBA Inputs'!$E22-'CBA Inputs'!$E22/'CBA Inputs'!$I22*(J$34-'CBA Inputs'!$H22+1),0),0)*IF(J$34=FirstYear+AnalysisPeriod-1,1,0),0)*CapitalCost_ACTIVE*J$31</f>
        <v>0</v>
      </c>
      <c r="K51" s="181">
        <f>IFERROR(IF(K$34&gt;='CBA Inputs'!$H22,MAX('CBA Inputs'!$E22-'CBA Inputs'!$E22/'CBA Inputs'!$I22*(K$34-'CBA Inputs'!$H22+1),0),0)*IF(K$34=FirstYear+AnalysisPeriod-1,1,0),0)*CapitalCost_ACTIVE*K$31</f>
        <v>0</v>
      </c>
      <c r="L51" s="181">
        <f>IFERROR(IF(L$34&gt;='CBA Inputs'!$H22,MAX('CBA Inputs'!$E22-'CBA Inputs'!$E22/'CBA Inputs'!$I22*(L$34-'CBA Inputs'!$H22+1),0),0)*IF(L$34=FirstYear+AnalysisPeriod-1,1,0),0)*CapitalCost_ACTIVE*L$31</f>
        <v>0</v>
      </c>
      <c r="M51" s="181">
        <f>IFERROR(IF(M$34&gt;='CBA Inputs'!$H22,MAX('CBA Inputs'!$E22-'CBA Inputs'!$E22/'CBA Inputs'!$I22*(M$34-'CBA Inputs'!$H22+1),0),0)*IF(M$34=FirstYear+AnalysisPeriod-1,1,0),0)*CapitalCost_ACTIVE*M$31</f>
        <v>0</v>
      </c>
      <c r="N51" s="181">
        <f>IFERROR(IF(N$34&gt;='CBA Inputs'!$H22,MAX('CBA Inputs'!$E22-'CBA Inputs'!$E22/'CBA Inputs'!$I22*(N$34-'CBA Inputs'!$H22+1),0),0)*IF(N$34=FirstYear+AnalysisPeriod-1,1,0),0)*CapitalCost_ACTIVE*N$31</f>
        <v>0</v>
      </c>
      <c r="O51" s="181">
        <f>IFERROR(IF(O$34&gt;='CBA Inputs'!$H22,MAX('CBA Inputs'!$E22-'CBA Inputs'!$E22/'CBA Inputs'!$I22*(O$34-'CBA Inputs'!$H22+1),0),0)*IF(O$34=FirstYear+AnalysisPeriod-1,1,0),0)*CapitalCost_ACTIVE*O$31</f>
        <v>0</v>
      </c>
      <c r="P51" s="181">
        <f>IFERROR(IF(P$34&gt;='CBA Inputs'!$H22,MAX('CBA Inputs'!$E22-'CBA Inputs'!$E22/'CBA Inputs'!$I22*(P$34-'CBA Inputs'!$H22+1),0),0)*IF(P$34=FirstYear+AnalysisPeriod-1,1,0),0)*CapitalCost_ACTIVE*P$31</f>
        <v>0</v>
      </c>
      <c r="Q51" s="181">
        <f>IFERROR(IF(Q$34&gt;='CBA Inputs'!$H22,MAX('CBA Inputs'!$E22-'CBA Inputs'!$E22/'CBA Inputs'!$I22*(Q$34-'CBA Inputs'!$H22+1),0),0)*IF(Q$34=FirstYear+AnalysisPeriod-1,1,0),0)*CapitalCost_ACTIVE*Q$31</f>
        <v>0</v>
      </c>
      <c r="R51" s="181">
        <f>IFERROR(IF(R$34&gt;='CBA Inputs'!$H22,MAX('CBA Inputs'!$E22-'CBA Inputs'!$E22/'CBA Inputs'!$I22*(R$34-'CBA Inputs'!$H22+1),0),0)*IF(R$34=FirstYear+AnalysisPeriod-1,1,0),0)*CapitalCost_ACTIVE*R$31</f>
        <v>0</v>
      </c>
      <c r="S51" s="181">
        <f>IFERROR(IF(S$34&gt;='CBA Inputs'!$H22,MAX('CBA Inputs'!$E22-'CBA Inputs'!$E22/'CBA Inputs'!$I22*(S$34-'CBA Inputs'!$H22+1),0),0)*IF(S$34=FirstYear+AnalysisPeriod-1,1,0),0)*CapitalCost_ACTIVE*S$31</f>
        <v>0</v>
      </c>
      <c r="T51" s="181">
        <f>IFERROR(IF(T$34&gt;='CBA Inputs'!$H22,MAX('CBA Inputs'!$E22-'CBA Inputs'!$E22/'CBA Inputs'!$I22*(T$34-'CBA Inputs'!$H22+1),0),0)*IF(T$34=FirstYear+AnalysisPeriod-1,1,0),0)*CapitalCost_ACTIVE*T$31</f>
        <v>0</v>
      </c>
      <c r="U51" s="181">
        <f>IFERROR(IF(U$34&gt;='CBA Inputs'!$H22,MAX('CBA Inputs'!$E22-'CBA Inputs'!$E22/'CBA Inputs'!$I22*(U$34-'CBA Inputs'!$H22+1),0),0)*IF(U$34=FirstYear+AnalysisPeriod-1,1,0),0)*CapitalCost_ACTIVE*U$31</f>
        <v>0</v>
      </c>
      <c r="V51" s="181">
        <f>IFERROR(IF(V$34&gt;='CBA Inputs'!$H22,MAX('CBA Inputs'!$E22-'CBA Inputs'!$E22/'CBA Inputs'!$I22*(V$34-'CBA Inputs'!$H22+1),0),0)*IF(V$34=FirstYear+AnalysisPeriod-1,1,0),0)*CapitalCost_ACTIVE*V$31</f>
        <v>0</v>
      </c>
      <c r="W51" s="181">
        <f>IFERROR(IF(W$34&gt;='CBA Inputs'!$H22,MAX('CBA Inputs'!$E22-'CBA Inputs'!$E22/'CBA Inputs'!$I22*(W$34-'CBA Inputs'!$H22+1),0),0)*IF(W$34=FirstYear+AnalysisPeriod-1,1,0),0)*CapitalCost_ACTIVE*W$31</f>
        <v>0</v>
      </c>
      <c r="X51" s="181">
        <f>IFERROR(IF(X$34&gt;='CBA Inputs'!$H22,MAX('CBA Inputs'!$E22-'CBA Inputs'!$E22/'CBA Inputs'!$I22*(X$34-'CBA Inputs'!$H22+1),0),0)*IF(X$34=FirstYear+AnalysisPeriod-1,1,0),0)*CapitalCost_ACTIVE*X$31</f>
        <v>0</v>
      </c>
      <c r="Y51" s="181">
        <f>IFERROR(IF(Y$34&gt;='CBA Inputs'!$H22,MAX('CBA Inputs'!$E22-'CBA Inputs'!$E22/'CBA Inputs'!$I22*(Y$34-'CBA Inputs'!$H22+1),0),0)*IF(Y$34=FirstYear+AnalysisPeriod-1,1,0),0)*CapitalCost_ACTIVE*Y$31</f>
        <v>0</v>
      </c>
      <c r="Z51" s="181">
        <f>IFERROR(IF(Z$34&gt;='CBA Inputs'!$H22,MAX('CBA Inputs'!$E22-'CBA Inputs'!$E22/'CBA Inputs'!$I22*(Z$34-'CBA Inputs'!$H22+1),0),0)*IF(Z$34=FirstYear+AnalysisPeriod-1,1,0),0)*CapitalCost_ACTIVE*Z$31</f>
        <v>0</v>
      </c>
      <c r="AA51" s="181">
        <f>IFERROR(IF(AA$34&gt;='CBA Inputs'!$H22,MAX('CBA Inputs'!$E22-'CBA Inputs'!$E22/'CBA Inputs'!$I22*(AA$34-'CBA Inputs'!$H22+1),0),0)*IF(AA$34=FirstYear+AnalysisPeriod-1,1,0),0)*CapitalCost_ACTIVE*AA$31</f>
        <v>0</v>
      </c>
      <c r="AB51" s="181">
        <f>IFERROR(IF(AB$34&gt;='CBA Inputs'!$H22,MAX('CBA Inputs'!$E22-'CBA Inputs'!$E22/'CBA Inputs'!$I22*(AB$34-'CBA Inputs'!$H22+1),0),0)*IF(AB$34=FirstYear+AnalysisPeriod-1,1,0),0)*CapitalCost_ACTIVE*AB$31</f>
        <v>0</v>
      </c>
      <c r="AC51" s="181">
        <f>IFERROR(IF(AC$34&gt;='CBA Inputs'!$H22,MAX('CBA Inputs'!$E22-'CBA Inputs'!$E22/'CBA Inputs'!$I22*(AC$34-'CBA Inputs'!$H22+1),0),0)*IF(AC$34=FirstYear+AnalysisPeriod-1,1,0),0)*CapitalCost_ACTIVE*AC$31</f>
        <v>0</v>
      </c>
      <c r="AD51" s="181">
        <f>IFERROR(IF(AD$34&gt;='CBA Inputs'!$H22,MAX('CBA Inputs'!$E22-'CBA Inputs'!$E22/'CBA Inputs'!$I22*(AD$34-'CBA Inputs'!$H22+1),0),0)*IF(AD$34=FirstYear+AnalysisPeriod-1,1,0),0)*CapitalCost_ACTIVE*AD$31</f>
        <v>0</v>
      </c>
      <c r="AE51" s="181">
        <f>IFERROR(IF(AE$34&gt;='CBA Inputs'!$H22,MAX('CBA Inputs'!$E22-'CBA Inputs'!$E22/'CBA Inputs'!$I22*(AE$34-'CBA Inputs'!$H22+1),0),0)*IF(AE$34=FirstYear+AnalysisPeriod-1,1,0),0)*CapitalCost_ACTIVE*AE$31</f>
        <v>0</v>
      </c>
      <c r="AF51" s="181">
        <f>IFERROR(IF(AF$34&gt;='CBA Inputs'!$H22,MAX('CBA Inputs'!$E22-'CBA Inputs'!$E22/'CBA Inputs'!$I22*(AF$34-'CBA Inputs'!$H22+1),0),0)*IF(AF$34=FirstYear+AnalysisPeriod-1,1,0),0)*CapitalCost_ACTIVE*AF$31</f>
        <v>23735453.697535545</v>
      </c>
      <c r="AG51" s="181">
        <f>IFERROR(IF(AG$34&gt;='CBA Inputs'!$H22,MAX('CBA Inputs'!$E22-'CBA Inputs'!$E22/'CBA Inputs'!$I22*(AG$34-'CBA Inputs'!$H22+1),0),0)*IF(AG$34=FirstYear+AnalysisPeriod-1,1,0),0)*CapitalCost_ACTIVE*AG$31</f>
        <v>0</v>
      </c>
      <c r="AH51" s="181">
        <f>IFERROR(IF(AH$34&gt;='CBA Inputs'!$H22,MAX('CBA Inputs'!$E22-'CBA Inputs'!$E22/'CBA Inputs'!$I22*(AH$34-'CBA Inputs'!$H22+1),0),0)*IF(AH$34=FirstYear+AnalysisPeriod-1,1,0),0)*CapitalCost_ACTIVE*AH$31</f>
        <v>0</v>
      </c>
      <c r="AI51" s="181">
        <f>IFERROR(IF(AI$34&gt;='CBA Inputs'!$H22,MAX('CBA Inputs'!$E22-'CBA Inputs'!$E22/'CBA Inputs'!$I22*(AI$34-'CBA Inputs'!$H22+1),0),0)*IF(AI$34=FirstYear+AnalysisPeriod-1,1,0),0)*CapitalCost_ACTIVE*AI$31</f>
        <v>0</v>
      </c>
      <c r="AJ51" s="181">
        <f>IFERROR(IF(AJ$34&gt;='CBA Inputs'!$H22,MAX('CBA Inputs'!$E22-'CBA Inputs'!$E22/'CBA Inputs'!$I22*(AJ$34-'CBA Inputs'!$H22+1),0),0)*IF(AJ$34=FirstYear+AnalysisPeriod-1,1,0),0)*CapitalCost_ACTIVE*AJ$31</f>
        <v>0</v>
      </c>
      <c r="AK51" s="178"/>
    </row>
    <row r="52" spans="2:41" hidden="1" x14ac:dyDescent="0.35">
      <c r="AN52" s="28"/>
      <c r="AO52" s="28"/>
    </row>
    <row r="53" spans="2:41" hidden="1" x14ac:dyDescent="0.35">
      <c r="B53" s="5" t="s">
        <v>128</v>
      </c>
      <c r="C53" s="27"/>
      <c r="D53" s="27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N53" s="28"/>
      <c r="AO53" s="28"/>
    </row>
    <row r="54" spans="2:41" hidden="1" x14ac:dyDescent="0.35">
      <c r="B54" s="7" t="str">
        <f t="shared" ref="B54:AK54" si="31">B38</f>
        <v>Number</v>
      </c>
      <c r="C54" s="7" t="str">
        <f t="shared" si="31"/>
        <v>Option name</v>
      </c>
      <c r="D54" s="7" t="str">
        <f t="shared" si="31"/>
        <v>Capex component</v>
      </c>
      <c r="E54" s="7" t="str">
        <f t="shared" si="31"/>
        <v>Units</v>
      </c>
      <c r="F54" s="7" t="str">
        <f t="shared" si="31"/>
        <v>PV</v>
      </c>
      <c r="G54" s="7" t="str">
        <f t="shared" si="31"/>
        <v>FY 2019-20</v>
      </c>
      <c r="H54" s="7" t="str">
        <f t="shared" si="31"/>
        <v>FY 2020-21</v>
      </c>
      <c r="I54" s="7" t="str">
        <f t="shared" si="31"/>
        <v>FY 2021-22</v>
      </c>
      <c r="J54" s="7" t="str">
        <f t="shared" si="31"/>
        <v>FY 2022-23</v>
      </c>
      <c r="K54" s="7" t="str">
        <f t="shared" si="31"/>
        <v>FY 2023-24</v>
      </c>
      <c r="L54" s="7" t="str">
        <f t="shared" si="31"/>
        <v>FY 2024-25</v>
      </c>
      <c r="M54" s="7" t="str">
        <f t="shared" si="31"/>
        <v>FY 2025-26</v>
      </c>
      <c r="N54" s="7" t="str">
        <f t="shared" si="31"/>
        <v>FY 2026-27</v>
      </c>
      <c r="O54" s="7" t="str">
        <f t="shared" si="31"/>
        <v>FY 2027-28</v>
      </c>
      <c r="P54" s="7" t="str">
        <f t="shared" si="31"/>
        <v>FY 2028-29</v>
      </c>
      <c r="Q54" s="7" t="str">
        <f t="shared" si="31"/>
        <v>FY 2029-30</v>
      </c>
      <c r="R54" s="7" t="str">
        <f t="shared" si="31"/>
        <v>FY 2030-31</v>
      </c>
      <c r="S54" s="7" t="str">
        <f t="shared" si="31"/>
        <v>FY 2031-32</v>
      </c>
      <c r="T54" s="7" t="str">
        <f t="shared" si="31"/>
        <v>FY 2032-33</v>
      </c>
      <c r="U54" s="7" t="str">
        <f t="shared" si="31"/>
        <v>FY 2033-34</v>
      </c>
      <c r="V54" s="7" t="str">
        <f t="shared" si="31"/>
        <v>FY 2034-35</v>
      </c>
      <c r="W54" s="7" t="str">
        <f t="shared" si="31"/>
        <v>FY 2035-36</v>
      </c>
      <c r="X54" s="7" t="str">
        <f t="shared" si="31"/>
        <v>FY 2036-37</v>
      </c>
      <c r="Y54" s="7" t="str">
        <f t="shared" si="31"/>
        <v>FY 2037-38</v>
      </c>
      <c r="Z54" s="7" t="str">
        <f t="shared" si="31"/>
        <v>FY 2038-39</v>
      </c>
      <c r="AA54" s="7" t="str">
        <f t="shared" si="31"/>
        <v>FY 2039-40</v>
      </c>
      <c r="AB54" s="7" t="str">
        <f t="shared" si="31"/>
        <v>FY 2040-41</v>
      </c>
      <c r="AC54" s="7" t="str">
        <f t="shared" si="31"/>
        <v>FY 2041-42</v>
      </c>
      <c r="AD54" s="7" t="str">
        <f t="shared" si="31"/>
        <v>FY 2042-43</v>
      </c>
      <c r="AE54" s="7" t="str">
        <f t="shared" si="31"/>
        <v>FY 2043-44</v>
      </c>
      <c r="AF54" s="7" t="str">
        <f t="shared" si="31"/>
        <v>FY 2044-45</v>
      </c>
      <c r="AG54" s="7" t="str">
        <f t="shared" si="31"/>
        <v>FY 2045-46</v>
      </c>
      <c r="AH54" s="7" t="str">
        <f t="shared" si="31"/>
        <v>FY 2046-47</v>
      </c>
      <c r="AI54" s="7" t="str">
        <f t="shared" si="31"/>
        <v>FY 2047-48</v>
      </c>
      <c r="AJ54" s="7" t="str">
        <f t="shared" si="31"/>
        <v>FY 2048-49</v>
      </c>
      <c r="AK54" s="7" t="str">
        <f t="shared" si="31"/>
        <v>Annualised</v>
      </c>
      <c r="AN54" s="28"/>
      <c r="AO54" s="28"/>
    </row>
    <row r="55" spans="2:41" hidden="1" x14ac:dyDescent="0.35">
      <c r="B55" s="23" t="str">
        <f>'CBA Inputs'!B25</f>
        <v/>
      </c>
      <c r="C55" s="23">
        <f>'CBA Inputs'!C25</f>
        <v>0</v>
      </c>
      <c r="D55" s="23">
        <f>'CBA Inputs'!D25</f>
        <v>0</v>
      </c>
      <c r="E55" s="12" t="s">
        <v>35</v>
      </c>
      <c r="F55" s="18">
        <f t="shared" ref="F55:F59" si="32">NPV(DiscountRate_ACTIVE,G55:AJ55)/(1+DiscountRate_ACTIVE)^(FirstYear-BaseYear-2)</f>
        <v>0</v>
      </c>
      <c r="G55" s="17">
        <f>-IF(AND(G$34&gt;='CBA Inputs'!$F25,G$34&lt;='CBA Inputs'!$G25),'CBA Inputs'!$E25/('CBA Inputs'!$G25-'CBA Inputs'!$F25+1),0)*IF(G$34=0,0,1)*CapitalCost_ACTIVE*G$31*IF(Scenario_Select='CBA Inputs'!$J25,1,0)</f>
        <v>0</v>
      </c>
      <c r="H55" s="17">
        <f>-IF(AND(H$34&gt;='CBA Inputs'!$F25,H$34&lt;='CBA Inputs'!$G25),'CBA Inputs'!$E25/('CBA Inputs'!$G25-'CBA Inputs'!$F25+1),0)*IF(H$34=0,0,1)*CapitalCost_ACTIVE*H$31*IF(Scenario_Select='CBA Inputs'!$J25,1,0)</f>
        <v>0</v>
      </c>
      <c r="I55" s="17">
        <f>-IF(AND(I$34&gt;='CBA Inputs'!$F25,I$34&lt;='CBA Inputs'!$G25),'CBA Inputs'!$E25/('CBA Inputs'!$G25-'CBA Inputs'!$F25+1),0)*IF(I$34=0,0,1)*CapitalCost_ACTIVE*I$31*IF(Scenario_Select='CBA Inputs'!$J25,1,0)</f>
        <v>0</v>
      </c>
      <c r="J55" s="17">
        <f>-IF(AND(J$34&gt;='CBA Inputs'!$F25,J$34&lt;='CBA Inputs'!$G25),'CBA Inputs'!$E25/('CBA Inputs'!$G25-'CBA Inputs'!$F25+1),0)*IF(J$34=0,0,1)*CapitalCost_ACTIVE*J$31*IF(Scenario_Select='CBA Inputs'!$J25,1,0)</f>
        <v>0</v>
      </c>
      <c r="K55" s="17">
        <f>-IF(AND(K$34&gt;='CBA Inputs'!$F25,K$34&lt;='CBA Inputs'!$G25),'CBA Inputs'!$E25/('CBA Inputs'!$G25-'CBA Inputs'!$F25+1),0)*IF(K$34=0,0,1)*CapitalCost_ACTIVE*K$31*IF(Scenario_Select='CBA Inputs'!$J25,1,0)</f>
        <v>0</v>
      </c>
      <c r="L55" s="17">
        <f>-IF(AND(L$34&gt;='CBA Inputs'!$F25,L$34&lt;='CBA Inputs'!$G25),'CBA Inputs'!$E25/('CBA Inputs'!$G25-'CBA Inputs'!$F25+1),0)*IF(L$34=0,0,1)*CapitalCost_ACTIVE*L$31*IF(Scenario_Select='CBA Inputs'!$J25,1,0)</f>
        <v>0</v>
      </c>
      <c r="M55" s="17">
        <f>-IF(AND(M$34&gt;='CBA Inputs'!$F25,M$34&lt;='CBA Inputs'!$G25),'CBA Inputs'!$E25/('CBA Inputs'!$G25-'CBA Inputs'!$F25+1),0)*IF(M$34=0,0,1)*CapitalCost_ACTIVE*M$31*IF(Scenario_Select='CBA Inputs'!$J25,1,0)</f>
        <v>0</v>
      </c>
      <c r="N55" s="17">
        <f>-IF(AND(N$34&gt;='CBA Inputs'!$F25,N$34&lt;='CBA Inputs'!$G25),'CBA Inputs'!$E25/('CBA Inputs'!$G25-'CBA Inputs'!$F25+1),0)*IF(N$34=0,0,1)*CapitalCost_ACTIVE*N$31*IF(Scenario_Select='CBA Inputs'!$J25,1,0)</f>
        <v>0</v>
      </c>
      <c r="O55" s="17">
        <f>-IF(AND(O$34&gt;='CBA Inputs'!$F25,O$34&lt;='CBA Inputs'!$G25),'CBA Inputs'!$E25/('CBA Inputs'!$G25-'CBA Inputs'!$F25+1),0)*IF(O$34=0,0,1)*CapitalCost_ACTIVE*O$31*IF(Scenario_Select='CBA Inputs'!$J25,1,0)</f>
        <v>0</v>
      </c>
      <c r="P55" s="17">
        <f>-IF(AND(P$34&gt;='CBA Inputs'!$F25,P$34&lt;='CBA Inputs'!$G25),'CBA Inputs'!$E25/('CBA Inputs'!$G25-'CBA Inputs'!$F25+1),0)*IF(P$34=0,0,1)*CapitalCost_ACTIVE*P$31*IF(Scenario_Select='CBA Inputs'!$J25,1,0)</f>
        <v>0</v>
      </c>
      <c r="Q55" s="17">
        <f>-IF(AND(Q$34&gt;='CBA Inputs'!$F25,Q$34&lt;='CBA Inputs'!$G25),'CBA Inputs'!$E25/('CBA Inputs'!$G25-'CBA Inputs'!$F25+1),0)*IF(Q$34=0,0,1)*CapitalCost_ACTIVE*Q$31*IF(Scenario_Select='CBA Inputs'!$J25,1,0)</f>
        <v>0</v>
      </c>
      <c r="R55" s="17">
        <f>-IF(AND(R$34&gt;='CBA Inputs'!$F25,R$34&lt;='CBA Inputs'!$G25),'CBA Inputs'!$E25/('CBA Inputs'!$G25-'CBA Inputs'!$F25+1),0)*IF(R$34=0,0,1)*CapitalCost_ACTIVE*R$31*IF(Scenario_Select='CBA Inputs'!$J25,1,0)</f>
        <v>0</v>
      </c>
      <c r="S55" s="17">
        <f>-IF(AND(S$34&gt;='CBA Inputs'!$F25,S$34&lt;='CBA Inputs'!$G25),'CBA Inputs'!$E25/('CBA Inputs'!$G25-'CBA Inputs'!$F25+1),0)*IF(S$34=0,0,1)*CapitalCost_ACTIVE*S$31*IF(Scenario_Select='CBA Inputs'!$J25,1,0)</f>
        <v>0</v>
      </c>
      <c r="T55" s="17">
        <f>-IF(AND(T$34&gt;='CBA Inputs'!$F25,T$34&lt;='CBA Inputs'!$G25),'CBA Inputs'!$E25/('CBA Inputs'!$G25-'CBA Inputs'!$F25+1),0)*IF(T$34=0,0,1)*CapitalCost_ACTIVE*T$31*IF(Scenario_Select='CBA Inputs'!$J25,1,0)</f>
        <v>0</v>
      </c>
      <c r="U55" s="17">
        <f>-IF(AND(U$34&gt;='CBA Inputs'!$F25,U$34&lt;='CBA Inputs'!$G25),'CBA Inputs'!$E25/('CBA Inputs'!$G25-'CBA Inputs'!$F25+1),0)*IF(U$34=0,0,1)*CapitalCost_ACTIVE*U$31*IF(Scenario_Select='CBA Inputs'!$J25,1,0)</f>
        <v>0</v>
      </c>
      <c r="V55" s="17">
        <f>-IF(AND(V$34&gt;='CBA Inputs'!$F25,V$34&lt;='CBA Inputs'!$G25),'CBA Inputs'!$E25/('CBA Inputs'!$G25-'CBA Inputs'!$F25+1),0)*IF(V$34=0,0,1)*CapitalCost_ACTIVE*V$31*IF(Scenario_Select='CBA Inputs'!$J25,1,0)</f>
        <v>0</v>
      </c>
      <c r="W55" s="17">
        <f>-IF(AND(W$34&gt;='CBA Inputs'!$F25,W$34&lt;='CBA Inputs'!$G25),'CBA Inputs'!$E25/('CBA Inputs'!$G25-'CBA Inputs'!$F25+1),0)*IF(W$34=0,0,1)*CapitalCost_ACTIVE*W$31*IF(Scenario_Select='CBA Inputs'!$J25,1,0)</f>
        <v>0</v>
      </c>
      <c r="X55" s="17">
        <f>-IF(AND(X$34&gt;='CBA Inputs'!$F25,X$34&lt;='CBA Inputs'!$G25),'CBA Inputs'!$E25/('CBA Inputs'!$G25-'CBA Inputs'!$F25+1),0)*IF(X$34=0,0,1)*CapitalCost_ACTIVE*X$31*IF(Scenario_Select='CBA Inputs'!$J25,1,0)</f>
        <v>0</v>
      </c>
      <c r="Y55" s="17">
        <f>-IF(AND(Y$34&gt;='CBA Inputs'!$F25,Y$34&lt;='CBA Inputs'!$G25),'CBA Inputs'!$E25/('CBA Inputs'!$G25-'CBA Inputs'!$F25+1),0)*IF(Y$34=0,0,1)*CapitalCost_ACTIVE*Y$31*IF(Scenario_Select='CBA Inputs'!$J25,1,0)</f>
        <v>0</v>
      </c>
      <c r="Z55" s="17">
        <f>-IF(AND(Z$34&gt;='CBA Inputs'!$F25,Z$34&lt;='CBA Inputs'!$G25),'CBA Inputs'!$E25/('CBA Inputs'!$G25-'CBA Inputs'!$F25+1),0)*IF(Z$34=0,0,1)*CapitalCost_ACTIVE*Z$31*IF(Scenario_Select='CBA Inputs'!$J25,1,0)</f>
        <v>0</v>
      </c>
      <c r="AA55" s="17">
        <f>-IF(AND(AA$34&gt;='CBA Inputs'!$F25,AA$34&lt;='CBA Inputs'!$G25),'CBA Inputs'!$E25/('CBA Inputs'!$G25-'CBA Inputs'!$F25+1),0)*IF(AA$34=0,0,1)*CapitalCost_ACTIVE*AA$31*IF(Scenario_Select='CBA Inputs'!$J25,1,0)</f>
        <v>0</v>
      </c>
      <c r="AB55" s="17">
        <f>-IF(AND(AB$34&gt;='CBA Inputs'!$F25,AB$34&lt;='CBA Inputs'!$G25),'CBA Inputs'!$E25/('CBA Inputs'!$G25-'CBA Inputs'!$F25+1),0)*IF(AB$34=0,0,1)*CapitalCost_ACTIVE*AB$31*IF(Scenario_Select='CBA Inputs'!$J25,1,0)</f>
        <v>0</v>
      </c>
      <c r="AC55" s="17">
        <f>-IF(AND(AC$34&gt;='CBA Inputs'!$F25,AC$34&lt;='CBA Inputs'!$G25),'CBA Inputs'!$E25/('CBA Inputs'!$G25-'CBA Inputs'!$F25+1),0)*IF(AC$34=0,0,1)*CapitalCost_ACTIVE*AC$31*IF(Scenario_Select='CBA Inputs'!$J25,1,0)</f>
        <v>0</v>
      </c>
      <c r="AD55" s="17">
        <f>-IF(AND(AD$34&gt;='CBA Inputs'!$F25,AD$34&lt;='CBA Inputs'!$G25),'CBA Inputs'!$E25/('CBA Inputs'!$G25-'CBA Inputs'!$F25+1),0)*IF(AD$34=0,0,1)*CapitalCost_ACTIVE*AD$31*IF(Scenario_Select='CBA Inputs'!$J25,1,0)</f>
        <v>0</v>
      </c>
      <c r="AE55" s="17">
        <f>-IF(AND(AE$34&gt;='CBA Inputs'!$F25,AE$34&lt;='CBA Inputs'!$G25),'CBA Inputs'!$E25/('CBA Inputs'!$G25-'CBA Inputs'!$F25+1),0)*IF(AE$34=0,0,1)*CapitalCost_ACTIVE*AE$31*IF(Scenario_Select='CBA Inputs'!$J25,1,0)</f>
        <v>0</v>
      </c>
      <c r="AF55" s="17">
        <f>-IF(AND(AF$34&gt;='CBA Inputs'!$F25,AF$34&lt;='CBA Inputs'!$G25),'CBA Inputs'!$E25/('CBA Inputs'!$G25-'CBA Inputs'!$F25+1),0)*IF(AF$34=0,0,1)*CapitalCost_ACTIVE*AF$31*IF(Scenario_Select='CBA Inputs'!$J25,1,0)</f>
        <v>0</v>
      </c>
      <c r="AG55" s="17">
        <f>-IF(AND(AG$34&gt;='CBA Inputs'!$F25,AG$34&lt;='CBA Inputs'!$G25),'CBA Inputs'!$E25/('CBA Inputs'!$G25-'CBA Inputs'!$F25+1),0)*IF(AG$34=0,0,1)*CapitalCost_ACTIVE*AG$31*IF(Scenario_Select='CBA Inputs'!$J25,1,0)</f>
        <v>0</v>
      </c>
      <c r="AH55" s="17">
        <f>-IF(AND(AH$34&gt;='CBA Inputs'!$F25,AH$34&lt;='CBA Inputs'!$G25),'CBA Inputs'!$E25/('CBA Inputs'!$G25-'CBA Inputs'!$F25+1),0)*IF(AH$34=0,0,1)*CapitalCost_ACTIVE*AH$31*IF(Scenario_Select='CBA Inputs'!$J25,1,0)</f>
        <v>0</v>
      </c>
      <c r="AI55" s="17">
        <f>-IF(AND(AI$34&gt;='CBA Inputs'!$F25,AI$34&lt;='CBA Inputs'!$G25),'CBA Inputs'!$E25/('CBA Inputs'!$G25-'CBA Inputs'!$F25+1),0)*IF(AI$34=0,0,1)*CapitalCost_ACTIVE*AI$31*IF(Scenario_Select='CBA Inputs'!$J25,1,0)</f>
        <v>0</v>
      </c>
      <c r="AJ55" s="17">
        <f>-IF(AND(AJ$34&gt;='CBA Inputs'!$F25,AJ$34&lt;='CBA Inputs'!$G25),'CBA Inputs'!$E25/('CBA Inputs'!$G25-'CBA Inputs'!$F25+1),0)*IF(AJ$34=0,0,1)*CapitalCost_ACTIVE*AJ$31*IF(Scenario_Select='CBA Inputs'!$J25,1,0)</f>
        <v>0</v>
      </c>
      <c r="AK55" s="170">
        <f>IFERROR(PMT(DiscountRate_ACTIVE,'CBA Inputs'!I25,'CBA Inputs'!E25),0)*IF(Scenario_Select='CBA Inputs'!$J25,1,0)</f>
        <v>0</v>
      </c>
      <c r="AN55" s="28"/>
      <c r="AO55" s="28"/>
    </row>
    <row r="56" spans="2:41" hidden="1" x14ac:dyDescent="0.35">
      <c r="B56" s="23" t="str">
        <f>'CBA Inputs'!B26</f>
        <v/>
      </c>
      <c r="C56" s="23">
        <f>'CBA Inputs'!C26</f>
        <v>0</v>
      </c>
      <c r="D56" s="23">
        <f>'CBA Inputs'!D26</f>
        <v>0</v>
      </c>
      <c r="E56" s="12" t="s">
        <v>35</v>
      </c>
      <c r="F56" s="18">
        <f t="shared" si="32"/>
        <v>0</v>
      </c>
      <c r="G56" s="17">
        <f>-IF(AND(G$34&gt;='CBA Inputs'!$F26,G$34&lt;='CBA Inputs'!$G26),'CBA Inputs'!$E26/('CBA Inputs'!$G26-'CBA Inputs'!$F26+1),0)*IF(G$34=0,0,1)*CapitalCost_ACTIVE*G$31*IF(Scenario_Select='CBA Inputs'!$J26,1,0)</f>
        <v>0</v>
      </c>
      <c r="H56" s="17">
        <f>-IF(AND(H$34&gt;='CBA Inputs'!$F26,H$34&lt;='CBA Inputs'!$G26),'CBA Inputs'!$E26/('CBA Inputs'!$G26-'CBA Inputs'!$F26+1),0)*IF(H$34=0,0,1)*CapitalCost_ACTIVE*H$31*IF(Scenario_Select='CBA Inputs'!$J26,1,0)</f>
        <v>0</v>
      </c>
      <c r="I56" s="17">
        <f>-IF(AND(I$34&gt;='CBA Inputs'!$F26,I$34&lt;='CBA Inputs'!$G26),'CBA Inputs'!$E26/('CBA Inputs'!$G26-'CBA Inputs'!$F26+1),0)*IF(I$34=0,0,1)*CapitalCost_ACTIVE*I$31*IF(Scenario_Select='CBA Inputs'!$J26,1,0)</f>
        <v>0</v>
      </c>
      <c r="J56" s="17">
        <f>-IF(AND(J$34&gt;='CBA Inputs'!$F26,J$34&lt;='CBA Inputs'!$G26),'CBA Inputs'!$E26/('CBA Inputs'!$G26-'CBA Inputs'!$F26+1),0)*IF(J$34=0,0,1)*CapitalCost_ACTIVE*J$31*IF(Scenario_Select='CBA Inputs'!$J26,1,0)</f>
        <v>0</v>
      </c>
      <c r="K56" s="17">
        <f>-IF(AND(K$34&gt;='CBA Inputs'!$F26,K$34&lt;='CBA Inputs'!$G26),'CBA Inputs'!$E26/('CBA Inputs'!$G26-'CBA Inputs'!$F26+1),0)*IF(K$34=0,0,1)*CapitalCost_ACTIVE*K$31*IF(Scenario_Select='CBA Inputs'!$J26,1,0)</f>
        <v>0</v>
      </c>
      <c r="L56" s="17">
        <f>-IF(AND(L$34&gt;='CBA Inputs'!$F26,L$34&lt;='CBA Inputs'!$G26),'CBA Inputs'!$E26/('CBA Inputs'!$G26-'CBA Inputs'!$F26+1),0)*IF(L$34=0,0,1)*CapitalCost_ACTIVE*L$31*IF(Scenario_Select='CBA Inputs'!$J26,1,0)</f>
        <v>0</v>
      </c>
      <c r="M56" s="17">
        <f>-IF(AND(M$34&gt;='CBA Inputs'!$F26,M$34&lt;='CBA Inputs'!$G26),'CBA Inputs'!$E26/('CBA Inputs'!$G26-'CBA Inputs'!$F26+1),0)*IF(M$34=0,0,1)*CapitalCost_ACTIVE*M$31*IF(Scenario_Select='CBA Inputs'!$J26,1,0)</f>
        <v>0</v>
      </c>
      <c r="N56" s="17">
        <f>-IF(AND(N$34&gt;='CBA Inputs'!$F26,N$34&lt;='CBA Inputs'!$G26),'CBA Inputs'!$E26/('CBA Inputs'!$G26-'CBA Inputs'!$F26+1),0)*IF(N$34=0,0,1)*CapitalCost_ACTIVE*N$31*IF(Scenario_Select='CBA Inputs'!$J26,1,0)</f>
        <v>0</v>
      </c>
      <c r="O56" s="17">
        <f>-IF(AND(O$34&gt;='CBA Inputs'!$F26,O$34&lt;='CBA Inputs'!$G26),'CBA Inputs'!$E26/('CBA Inputs'!$G26-'CBA Inputs'!$F26+1),0)*IF(O$34=0,0,1)*CapitalCost_ACTIVE*O$31*IF(Scenario_Select='CBA Inputs'!$J26,1,0)</f>
        <v>0</v>
      </c>
      <c r="P56" s="17">
        <f>-IF(AND(P$34&gt;='CBA Inputs'!$F26,P$34&lt;='CBA Inputs'!$G26),'CBA Inputs'!$E26/('CBA Inputs'!$G26-'CBA Inputs'!$F26+1),0)*IF(P$34=0,0,1)*CapitalCost_ACTIVE*P$31*IF(Scenario_Select='CBA Inputs'!$J26,1,0)</f>
        <v>0</v>
      </c>
      <c r="Q56" s="17">
        <f>-IF(AND(Q$34&gt;='CBA Inputs'!$F26,Q$34&lt;='CBA Inputs'!$G26),'CBA Inputs'!$E26/('CBA Inputs'!$G26-'CBA Inputs'!$F26+1),0)*IF(Q$34=0,0,1)*CapitalCost_ACTIVE*Q$31*IF(Scenario_Select='CBA Inputs'!$J26,1,0)</f>
        <v>0</v>
      </c>
      <c r="R56" s="17">
        <f>-IF(AND(R$34&gt;='CBA Inputs'!$F26,R$34&lt;='CBA Inputs'!$G26),'CBA Inputs'!$E26/('CBA Inputs'!$G26-'CBA Inputs'!$F26+1),0)*IF(R$34=0,0,1)*CapitalCost_ACTIVE*R$31*IF(Scenario_Select='CBA Inputs'!$J26,1,0)</f>
        <v>0</v>
      </c>
      <c r="S56" s="17">
        <f>-IF(AND(S$34&gt;='CBA Inputs'!$F26,S$34&lt;='CBA Inputs'!$G26),'CBA Inputs'!$E26/('CBA Inputs'!$G26-'CBA Inputs'!$F26+1),0)*IF(S$34=0,0,1)*CapitalCost_ACTIVE*S$31*IF(Scenario_Select='CBA Inputs'!$J26,1,0)</f>
        <v>0</v>
      </c>
      <c r="T56" s="17">
        <f>-IF(AND(T$34&gt;='CBA Inputs'!$F26,T$34&lt;='CBA Inputs'!$G26),'CBA Inputs'!$E26/('CBA Inputs'!$G26-'CBA Inputs'!$F26+1),0)*IF(T$34=0,0,1)*CapitalCost_ACTIVE*T$31*IF(Scenario_Select='CBA Inputs'!$J26,1,0)</f>
        <v>0</v>
      </c>
      <c r="U56" s="17">
        <f>-IF(AND(U$34&gt;='CBA Inputs'!$F26,U$34&lt;='CBA Inputs'!$G26),'CBA Inputs'!$E26/('CBA Inputs'!$G26-'CBA Inputs'!$F26+1),0)*IF(U$34=0,0,1)*CapitalCost_ACTIVE*U$31*IF(Scenario_Select='CBA Inputs'!$J26,1,0)</f>
        <v>0</v>
      </c>
      <c r="V56" s="17">
        <f>-IF(AND(V$34&gt;='CBA Inputs'!$F26,V$34&lt;='CBA Inputs'!$G26),'CBA Inputs'!$E26/('CBA Inputs'!$G26-'CBA Inputs'!$F26+1),0)*IF(V$34=0,0,1)*CapitalCost_ACTIVE*V$31*IF(Scenario_Select='CBA Inputs'!$J26,1,0)</f>
        <v>0</v>
      </c>
      <c r="W56" s="17">
        <f>-IF(AND(W$34&gt;='CBA Inputs'!$F26,W$34&lt;='CBA Inputs'!$G26),'CBA Inputs'!$E26/('CBA Inputs'!$G26-'CBA Inputs'!$F26+1),0)*IF(W$34=0,0,1)*CapitalCost_ACTIVE*W$31*IF(Scenario_Select='CBA Inputs'!$J26,1,0)</f>
        <v>0</v>
      </c>
      <c r="X56" s="17">
        <f>-IF(AND(X$34&gt;='CBA Inputs'!$F26,X$34&lt;='CBA Inputs'!$G26),'CBA Inputs'!$E26/('CBA Inputs'!$G26-'CBA Inputs'!$F26+1),0)*IF(X$34=0,0,1)*CapitalCost_ACTIVE*X$31*IF(Scenario_Select='CBA Inputs'!$J26,1,0)</f>
        <v>0</v>
      </c>
      <c r="Y56" s="17">
        <f>-IF(AND(Y$34&gt;='CBA Inputs'!$F26,Y$34&lt;='CBA Inputs'!$G26),'CBA Inputs'!$E26/('CBA Inputs'!$G26-'CBA Inputs'!$F26+1),0)*IF(Y$34=0,0,1)*CapitalCost_ACTIVE*Y$31*IF(Scenario_Select='CBA Inputs'!$J26,1,0)</f>
        <v>0</v>
      </c>
      <c r="Z56" s="17">
        <f>-IF(AND(Z$34&gt;='CBA Inputs'!$F26,Z$34&lt;='CBA Inputs'!$G26),'CBA Inputs'!$E26/('CBA Inputs'!$G26-'CBA Inputs'!$F26+1),0)*IF(Z$34=0,0,1)*CapitalCost_ACTIVE*Z$31*IF(Scenario_Select='CBA Inputs'!$J26,1,0)</f>
        <v>0</v>
      </c>
      <c r="AA56" s="17">
        <f>-IF(AND(AA$34&gt;='CBA Inputs'!$F26,AA$34&lt;='CBA Inputs'!$G26),'CBA Inputs'!$E26/('CBA Inputs'!$G26-'CBA Inputs'!$F26+1),0)*IF(AA$34=0,0,1)*CapitalCost_ACTIVE*AA$31*IF(Scenario_Select='CBA Inputs'!$J26,1,0)</f>
        <v>0</v>
      </c>
      <c r="AB56" s="17">
        <f>-IF(AND(AB$34&gt;='CBA Inputs'!$F26,AB$34&lt;='CBA Inputs'!$G26),'CBA Inputs'!$E26/('CBA Inputs'!$G26-'CBA Inputs'!$F26+1),0)*IF(AB$34=0,0,1)*CapitalCost_ACTIVE*AB$31*IF(Scenario_Select='CBA Inputs'!$J26,1,0)</f>
        <v>0</v>
      </c>
      <c r="AC56" s="17">
        <f>-IF(AND(AC$34&gt;='CBA Inputs'!$F26,AC$34&lt;='CBA Inputs'!$G26),'CBA Inputs'!$E26/('CBA Inputs'!$G26-'CBA Inputs'!$F26+1),0)*IF(AC$34=0,0,1)*CapitalCost_ACTIVE*AC$31*IF(Scenario_Select='CBA Inputs'!$J26,1,0)</f>
        <v>0</v>
      </c>
      <c r="AD56" s="17">
        <f>-IF(AND(AD$34&gt;='CBA Inputs'!$F26,AD$34&lt;='CBA Inputs'!$G26),'CBA Inputs'!$E26/('CBA Inputs'!$G26-'CBA Inputs'!$F26+1),0)*IF(AD$34=0,0,1)*CapitalCost_ACTIVE*AD$31*IF(Scenario_Select='CBA Inputs'!$J26,1,0)</f>
        <v>0</v>
      </c>
      <c r="AE56" s="17">
        <f>-IF(AND(AE$34&gt;='CBA Inputs'!$F26,AE$34&lt;='CBA Inputs'!$G26),'CBA Inputs'!$E26/('CBA Inputs'!$G26-'CBA Inputs'!$F26+1),0)*IF(AE$34=0,0,1)*CapitalCost_ACTIVE*AE$31*IF(Scenario_Select='CBA Inputs'!$J26,1,0)</f>
        <v>0</v>
      </c>
      <c r="AF56" s="17">
        <f>-IF(AND(AF$34&gt;='CBA Inputs'!$F26,AF$34&lt;='CBA Inputs'!$G26),'CBA Inputs'!$E26/('CBA Inputs'!$G26-'CBA Inputs'!$F26+1),0)*IF(AF$34=0,0,1)*CapitalCost_ACTIVE*AF$31*IF(Scenario_Select='CBA Inputs'!$J26,1,0)</f>
        <v>0</v>
      </c>
      <c r="AG56" s="17">
        <f>-IF(AND(AG$34&gt;='CBA Inputs'!$F26,AG$34&lt;='CBA Inputs'!$G26),'CBA Inputs'!$E26/('CBA Inputs'!$G26-'CBA Inputs'!$F26+1),0)*IF(AG$34=0,0,1)*CapitalCost_ACTIVE*AG$31*IF(Scenario_Select='CBA Inputs'!$J26,1,0)</f>
        <v>0</v>
      </c>
      <c r="AH56" s="17">
        <f>-IF(AND(AH$34&gt;='CBA Inputs'!$F26,AH$34&lt;='CBA Inputs'!$G26),'CBA Inputs'!$E26/('CBA Inputs'!$G26-'CBA Inputs'!$F26+1),0)*IF(AH$34=0,0,1)*CapitalCost_ACTIVE*AH$31*IF(Scenario_Select='CBA Inputs'!$J26,1,0)</f>
        <v>0</v>
      </c>
      <c r="AI56" s="17">
        <f>-IF(AND(AI$34&gt;='CBA Inputs'!$F26,AI$34&lt;='CBA Inputs'!$G26),'CBA Inputs'!$E26/('CBA Inputs'!$G26-'CBA Inputs'!$F26+1),0)*IF(AI$34=0,0,1)*CapitalCost_ACTIVE*AI$31*IF(Scenario_Select='CBA Inputs'!$J26,1,0)</f>
        <v>0</v>
      </c>
      <c r="AJ56" s="17">
        <f>-IF(AND(AJ$34&gt;='CBA Inputs'!$F26,AJ$34&lt;='CBA Inputs'!$G26),'CBA Inputs'!$E26/('CBA Inputs'!$G26-'CBA Inputs'!$F26+1),0)*IF(AJ$34=0,0,1)*CapitalCost_ACTIVE*AJ$31*IF(Scenario_Select='CBA Inputs'!$J26,1,0)</f>
        <v>0</v>
      </c>
      <c r="AK56" s="170">
        <f>IFERROR(PMT(DiscountRate_ACTIVE,'CBA Inputs'!I26,'CBA Inputs'!E26),0)*IF(Scenario_Select='CBA Inputs'!$J26,1,0)</f>
        <v>0</v>
      </c>
      <c r="AN56" s="28"/>
      <c r="AO56" s="28"/>
    </row>
    <row r="57" spans="2:41" hidden="1" x14ac:dyDescent="0.35">
      <c r="B57" s="23" t="str">
        <f>'CBA Inputs'!B27</f>
        <v/>
      </c>
      <c r="C57" s="23">
        <f>'CBA Inputs'!C27</f>
        <v>0</v>
      </c>
      <c r="D57" s="23">
        <f>'CBA Inputs'!D27</f>
        <v>0</v>
      </c>
      <c r="E57" s="12" t="s">
        <v>35</v>
      </c>
      <c r="F57" s="18">
        <f t="shared" si="32"/>
        <v>0</v>
      </c>
      <c r="G57" s="17">
        <f>-IF(AND(G$34&gt;='CBA Inputs'!$F27,G$34&lt;='CBA Inputs'!$G27),'CBA Inputs'!$E27/('CBA Inputs'!$G27-'CBA Inputs'!$F27+1),0)*IF(G$34=0,0,1)*CapitalCost_ACTIVE*G$31*IF(Scenario_Select='CBA Inputs'!$J27,1,0)</f>
        <v>0</v>
      </c>
      <c r="H57" s="17">
        <f>-IF(AND(H$34&gt;='CBA Inputs'!$F27,H$34&lt;='CBA Inputs'!$G27),'CBA Inputs'!$E27/('CBA Inputs'!$G27-'CBA Inputs'!$F27+1),0)*IF(H$34=0,0,1)*CapitalCost_ACTIVE*H$31*IF(Scenario_Select='CBA Inputs'!$J27,1,0)</f>
        <v>0</v>
      </c>
      <c r="I57" s="17">
        <f>-IF(AND(I$34&gt;='CBA Inputs'!$F27,I$34&lt;='CBA Inputs'!$G27),'CBA Inputs'!$E27/('CBA Inputs'!$G27-'CBA Inputs'!$F27+1),0)*IF(I$34=0,0,1)*CapitalCost_ACTIVE*I$31*IF(Scenario_Select='CBA Inputs'!$J27,1,0)</f>
        <v>0</v>
      </c>
      <c r="J57" s="17">
        <f>-IF(AND(J$34&gt;='CBA Inputs'!$F27,J$34&lt;='CBA Inputs'!$G27),'CBA Inputs'!$E27/('CBA Inputs'!$G27-'CBA Inputs'!$F27+1),0)*IF(J$34=0,0,1)*CapitalCost_ACTIVE*J$31*IF(Scenario_Select='CBA Inputs'!$J27,1,0)</f>
        <v>0</v>
      </c>
      <c r="K57" s="17">
        <f>-IF(AND(K$34&gt;='CBA Inputs'!$F27,K$34&lt;='CBA Inputs'!$G27),'CBA Inputs'!$E27/('CBA Inputs'!$G27-'CBA Inputs'!$F27+1),0)*IF(K$34=0,0,1)*CapitalCost_ACTIVE*K$31*IF(Scenario_Select='CBA Inputs'!$J27,1,0)</f>
        <v>0</v>
      </c>
      <c r="L57" s="17">
        <f>-IF(AND(L$34&gt;='CBA Inputs'!$F27,L$34&lt;='CBA Inputs'!$G27),'CBA Inputs'!$E27/('CBA Inputs'!$G27-'CBA Inputs'!$F27+1),0)*IF(L$34=0,0,1)*CapitalCost_ACTIVE*L$31*IF(Scenario_Select='CBA Inputs'!$J27,1,0)</f>
        <v>0</v>
      </c>
      <c r="M57" s="17">
        <f>-IF(AND(M$34&gt;='CBA Inputs'!$F27,M$34&lt;='CBA Inputs'!$G27),'CBA Inputs'!$E27/('CBA Inputs'!$G27-'CBA Inputs'!$F27+1),0)*IF(M$34=0,0,1)*CapitalCost_ACTIVE*M$31*IF(Scenario_Select='CBA Inputs'!$J27,1,0)</f>
        <v>0</v>
      </c>
      <c r="N57" s="17">
        <f>-IF(AND(N$34&gt;='CBA Inputs'!$F27,N$34&lt;='CBA Inputs'!$G27),'CBA Inputs'!$E27/('CBA Inputs'!$G27-'CBA Inputs'!$F27+1),0)*IF(N$34=0,0,1)*CapitalCost_ACTIVE*N$31*IF(Scenario_Select='CBA Inputs'!$J27,1,0)</f>
        <v>0</v>
      </c>
      <c r="O57" s="17">
        <f>-IF(AND(O$34&gt;='CBA Inputs'!$F27,O$34&lt;='CBA Inputs'!$G27),'CBA Inputs'!$E27/('CBA Inputs'!$G27-'CBA Inputs'!$F27+1),0)*IF(O$34=0,0,1)*CapitalCost_ACTIVE*O$31*IF(Scenario_Select='CBA Inputs'!$J27,1,0)</f>
        <v>0</v>
      </c>
      <c r="P57" s="17">
        <f>-IF(AND(P$34&gt;='CBA Inputs'!$F27,P$34&lt;='CBA Inputs'!$G27),'CBA Inputs'!$E27/('CBA Inputs'!$G27-'CBA Inputs'!$F27+1),0)*IF(P$34=0,0,1)*CapitalCost_ACTIVE*P$31*IF(Scenario_Select='CBA Inputs'!$J27,1,0)</f>
        <v>0</v>
      </c>
      <c r="Q57" s="17">
        <f>-IF(AND(Q$34&gt;='CBA Inputs'!$F27,Q$34&lt;='CBA Inputs'!$G27),'CBA Inputs'!$E27/('CBA Inputs'!$G27-'CBA Inputs'!$F27+1),0)*IF(Q$34=0,0,1)*CapitalCost_ACTIVE*Q$31*IF(Scenario_Select='CBA Inputs'!$J27,1,0)</f>
        <v>0</v>
      </c>
      <c r="R57" s="17">
        <f>-IF(AND(R$34&gt;='CBA Inputs'!$F27,R$34&lt;='CBA Inputs'!$G27),'CBA Inputs'!$E27/('CBA Inputs'!$G27-'CBA Inputs'!$F27+1),0)*IF(R$34=0,0,1)*CapitalCost_ACTIVE*R$31*IF(Scenario_Select='CBA Inputs'!$J27,1,0)</f>
        <v>0</v>
      </c>
      <c r="S57" s="17">
        <f>-IF(AND(S$34&gt;='CBA Inputs'!$F27,S$34&lt;='CBA Inputs'!$G27),'CBA Inputs'!$E27/('CBA Inputs'!$G27-'CBA Inputs'!$F27+1),0)*IF(S$34=0,0,1)*CapitalCost_ACTIVE*S$31*IF(Scenario_Select='CBA Inputs'!$J27,1,0)</f>
        <v>0</v>
      </c>
      <c r="T57" s="17">
        <f>-IF(AND(T$34&gt;='CBA Inputs'!$F27,T$34&lt;='CBA Inputs'!$G27),'CBA Inputs'!$E27/('CBA Inputs'!$G27-'CBA Inputs'!$F27+1),0)*IF(T$34=0,0,1)*CapitalCost_ACTIVE*T$31*IF(Scenario_Select='CBA Inputs'!$J27,1,0)</f>
        <v>0</v>
      </c>
      <c r="U57" s="17">
        <f>-IF(AND(U$34&gt;='CBA Inputs'!$F27,U$34&lt;='CBA Inputs'!$G27),'CBA Inputs'!$E27/('CBA Inputs'!$G27-'CBA Inputs'!$F27+1),0)*IF(U$34=0,0,1)*CapitalCost_ACTIVE*U$31*IF(Scenario_Select='CBA Inputs'!$J27,1,0)</f>
        <v>0</v>
      </c>
      <c r="V57" s="17">
        <f>-IF(AND(V$34&gt;='CBA Inputs'!$F27,V$34&lt;='CBA Inputs'!$G27),'CBA Inputs'!$E27/('CBA Inputs'!$G27-'CBA Inputs'!$F27+1),0)*IF(V$34=0,0,1)*CapitalCost_ACTIVE*V$31*IF(Scenario_Select='CBA Inputs'!$J27,1,0)</f>
        <v>0</v>
      </c>
      <c r="W57" s="17">
        <f>-IF(AND(W$34&gt;='CBA Inputs'!$F27,W$34&lt;='CBA Inputs'!$G27),'CBA Inputs'!$E27/('CBA Inputs'!$G27-'CBA Inputs'!$F27+1),0)*IF(W$34=0,0,1)*CapitalCost_ACTIVE*W$31*IF(Scenario_Select='CBA Inputs'!$J27,1,0)</f>
        <v>0</v>
      </c>
      <c r="X57" s="17">
        <f>-IF(AND(X$34&gt;='CBA Inputs'!$F27,X$34&lt;='CBA Inputs'!$G27),'CBA Inputs'!$E27/('CBA Inputs'!$G27-'CBA Inputs'!$F27+1),0)*IF(X$34=0,0,1)*CapitalCost_ACTIVE*X$31*IF(Scenario_Select='CBA Inputs'!$J27,1,0)</f>
        <v>0</v>
      </c>
      <c r="Y57" s="17">
        <f>-IF(AND(Y$34&gt;='CBA Inputs'!$F27,Y$34&lt;='CBA Inputs'!$G27),'CBA Inputs'!$E27/('CBA Inputs'!$G27-'CBA Inputs'!$F27+1),0)*IF(Y$34=0,0,1)*CapitalCost_ACTIVE*Y$31*IF(Scenario_Select='CBA Inputs'!$J27,1,0)</f>
        <v>0</v>
      </c>
      <c r="Z57" s="17">
        <f>-IF(AND(Z$34&gt;='CBA Inputs'!$F27,Z$34&lt;='CBA Inputs'!$G27),'CBA Inputs'!$E27/('CBA Inputs'!$G27-'CBA Inputs'!$F27+1),0)*IF(Z$34=0,0,1)*CapitalCost_ACTIVE*Z$31*IF(Scenario_Select='CBA Inputs'!$J27,1,0)</f>
        <v>0</v>
      </c>
      <c r="AA57" s="17">
        <f>-IF(AND(AA$34&gt;='CBA Inputs'!$F27,AA$34&lt;='CBA Inputs'!$G27),'CBA Inputs'!$E27/('CBA Inputs'!$G27-'CBA Inputs'!$F27+1),0)*IF(AA$34=0,0,1)*CapitalCost_ACTIVE*AA$31*IF(Scenario_Select='CBA Inputs'!$J27,1,0)</f>
        <v>0</v>
      </c>
      <c r="AB57" s="17">
        <f>-IF(AND(AB$34&gt;='CBA Inputs'!$F27,AB$34&lt;='CBA Inputs'!$G27),'CBA Inputs'!$E27/('CBA Inputs'!$G27-'CBA Inputs'!$F27+1),0)*IF(AB$34=0,0,1)*CapitalCost_ACTIVE*AB$31*IF(Scenario_Select='CBA Inputs'!$J27,1,0)</f>
        <v>0</v>
      </c>
      <c r="AC57" s="17">
        <f>-IF(AND(AC$34&gt;='CBA Inputs'!$F27,AC$34&lt;='CBA Inputs'!$G27),'CBA Inputs'!$E27/('CBA Inputs'!$G27-'CBA Inputs'!$F27+1),0)*IF(AC$34=0,0,1)*CapitalCost_ACTIVE*AC$31*IF(Scenario_Select='CBA Inputs'!$J27,1,0)</f>
        <v>0</v>
      </c>
      <c r="AD57" s="17">
        <f>-IF(AND(AD$34&gt;='CBA Inputs'!$F27,AD$34&lt;='CBA Inputs'!$G27),'CBA Inputs'!$E27/('CBA Inputs'!$G27-'CBA Inputs'!$F27+1),0)*IF(AD$34=0,0,1)*CapitalCost_ACTIVE*AD$31*IF(Scenario_Select='CBA Inputs'!$J27,1,0)</f>
        <v>0</v>
      </c>
      <c r="AE57" s="17">
        <f>-IF(AND(AE$34&gt;='CBA Inputs'!$F27,AE$34&lt;='CBA Inputs'!$G27),'CBA Inputs'!$E27/('CBA Inputs'!$G27-'CBA Inputs'!$F27+1),0)*IF(AE$34=0,0,1)*CapitalCost_ACTIVE*AE$31*IF(Scenario_Select='CBA Inputs'!$J27,1,0)</f>
        <v>0</v>
      </c>
      <c r="AF57" s="17">
        <f>-IF(AND(AF$34&gt;='CBA Inputs'!$F27,AF$34&lt;='CBA Inputs'!$G27),'CBA Inputs'!$E27/('CBA Inputs'!$G27-'CBA Inputs'!$F27+1),0)*IF(AF$34=0,0,1)*CapitalCost_ACTIVE*AF$31*IF(Scenario_Select='CBA Inputs'!$J27,1,0)</f>
        <v>0</v>
      </c>
      <c r="AG57" s="17">
        <f>-IF(AND(AG$34&gt;='CBA Inputs'!$F27,AG$34&lt;='CBA Inputs'!$G27),'CBA Inputs'!$E27/('CBA Inputs'!$G27-'CBA Inputs'!$F27+1),0)*IF(AG$34=0,0,1)*CapitalCost_ACTIVE*AG$31*IF(Scenario_Select='CBA Inputs'!$J27,1,0)</f>
        <v>0</v>
      </c>
      <c r="AH57" s="17">
        <f>-IF(AND(AH$34&gt;='CBA Inputs'!$F27,AH$34&lt;='CBA Inputs'!$G27),'CBA Inputs'!$E27/('CBA Inputs'!$G27-'CBA Inputs'!$F27+1),0)*IF(AH$34=0,0,1)*CapitalCost_ACTIVE*AH$31*IF(Scenario_Select='CBA Inputs'!$J27,1,0)</f>
        <v>0</v>
      </c>
      <c r="AI57" s="17">
        <f>-IF(AND(AI$34&gt;='CBA Inputs'!$F27,AI$34&lt;='CBA Inputs'!$G27),'CBA Inputs'!$E27/('CBA Inputs'!$G27-'CBA Inputs'!$F27+1),0)*IF(AI$34=0,0,1)*CapitalCost_ACTIVE*AI$31*IF(Scenario_Select='CBA Inputs'!$J27,1,0)</f>
        <v>0</v>
      </c>
      <c r="AJ57" s="17">
        <f>-IF(AND(AJ$34&gt;='CBA Inputs'!$F27,AJ$34&lt;='CBA Inputs'!$G27),'CBA Inputs'!$E27/('CBA Inputs'!$G27-'CBA Inputs'!$F27+1),0)*IF(AJ$34=0,0,1)*CapitalCost_ACTIVE*AJ$31*IF(Scenario_Select='CBA Inputs'!$J27,1,0)</f>
        <v>0</v>
      </c>
      <c r="AK57" s="170">
        <f>IFERROR(PMT(DiscountRate_ACTIVE,'CBA Inputs'!I27,'CBA Inputs'!E27),0)*IF(Scenario_Select='CBA Inputs'!$J27,1,0)</f>
        <v>0</v>
      </c>
      <c r="AN57" s="28"/>
      <c r="AO57" s="28"/>
    </row>
    <row r="58" spans="2:41" hidden="1" x14ac:dyDescent="0.35">
      <c r="B58" s="23" t="str">
        <f>'CBA Inputs'!B28</f>
        <v/>
      </c>
      <c r="C58" s="23">
        <f>'CBA Inputs'!C28</f>
        <v>0</v>
      </c>
      <c r="D58" s="23">
        <f>'CBA Inputs'!D28</f>
        <v>0</v>
      </c>
      <c r="E58" s="12" t="s">
        <v>35</v>
      </c>
      <c r="F58" s="18">
        <f t="shared" si="32"/>
        <v>0</v>
      </c>
      <c r="G58" s="17">
        <f>-IF(AND(G$34&gt;='CBA Inputs'!$F28,G$34&lt;='CBA Inputs'!$G28),'CBA Inputs'!$E28/('CBA Inputs'!$G28-'CBA Inputs'!$F28+1),0)*IF(G$34=0,0,1)*CapitalCost_ACTIVE*G$31*IF(Scenario_Select='CBA Inputs'!$J28,1,0)</f>
        <v>0</v>
      </c>
      <c r="H58" s="17">
        <f>-IF(AND(H$34&gt;='CBA Inputs'!$F28,H$34&lt;='CBA Inputs'!$G28),'CBA Inputs'!$E28/('CBA Inputs'!$G28-'CBA Inputs'!$F28+1),0)*IF(H$34=0,0,1)*CapitalCost_ACTIVE*H$31*IF(Scenario_Select='CBA Inputs'!$J28,1,0)</f>
        <v>0</v>
      </c>
      <c r="I58" s="17">
        <f>-IF(AND(I$34&gt;='CBA Inputs'!$F28,I$34&lt;='CBA Inputs'!$G28),'CBA Inputs'!$E28/('CBA Inputs'!$G28-'CBA Inputs'!$F28+1),0)*IF(I$34=0,0,1)*CapitalCost_ACTIVE*I$31*IF(Scenario_Select='CBA Inputs'!$J28,1,0)</f>
        <v>0</v>
      </c>
      <c r="J58" s="17">
        <f>-IF(AND(J$34&gt;='CBA Inputs'!$F28,J$34&lt;='CBA Inputs'!$G28),'CBA Inputs'!$E28/('CBA Inputs'!$G28-'CBA Inputs'!$F28+1),0)*IF(J$34=0,0,1)*CapitalCost_ACTIVE*J$31*IF(Scenario_Select='CBA Inputs'!$J28,1,0)</f>
        <v>0</v>
      </c>
      <c r="K58" s="17">
        <f>-IF(AND(K$34&gt;='CBA Inputs'!$F28,K$34&lt;='CBA Inputs'!$G28),'CBA Inputs'!$E28/('CBA Inputs'!$G28-'CBA Inputs'!$F28+1),0)*IF(K$34=0,0,1)*CapitalCost_ACTIVE*K$31*IF(Scenario_Select='CBA Inputs'!$J28,1,0)</f>
        <v>0</v>
      </c>
      <c r="L58" s="17">
        <f>-IF(AND(L$34&gt;='CBA Inputs'!$F28,L$34&lt;='CBA Inputs'!$G28),'CBA Inputs'!$E28/('CBA Inputs'!$G28-'CBA Inputs'!$F28+1),0)*IF(L$34=0,0,1)*CapitalCost_ACTIVE*L$31*IF(Scenario_Select='CBA Inputs'!$J28,1,0)</f>
        <v>0</v>
      </c>
      <c r="M58" s="17">
        <f>-IF(AND(M$34&gt;='CBA Inputs'!$F28,M$34&lt;='CBA Inputs'!$G28),'CBA Inputs'!$E28/('CBA Inputs'!$G28-'CBA Inputs'!$F28+1),0)*IF(M$34=0,0,1)*CapitalCost_ACTIVE*M$31*IF(Scenario_Select='CBA Inputs'!$J28,1,0)</f>
        <v>0</v>
      </c>
      <c r="N58" s="17">
        <f>-IF(AND(N$34&gt;='CBA Inputs'!$F28,N$34&lt;='CBA Inputs'!$G28),'CBA Inputs'!$E28/('CBA Inputs'!$G28-'CBA Inputs'!$F28+1),0)*IF(N$34=0,0,1)*CapitalCost_ACTIVE*N$31*IF(Scenario_Select='CBA Inputs'!$J28,1,0)</f>
        <v>0</v>
      </c>
      <c r="O58" s="17">
        <f>-IF(AND(O$34&gt;='CBA Inputs'!$F28,O$34&lt;='CBA Inputs'!$G28),'CBA Inputs'!$E28/('CBA Inputs'!$G28-'CBA Inputs'!$F28+1),0)*IF(O$34=0,0,1)*CapitalCost_ACTIVE*O$31*IF(Scenario_Select='CBA Inputs'!$J28,1,0)</f>
        <v>0</v>
      </c>
      <c r="P58" s="17">
        <f>-IF(AND(P$34&gt;='CBA Inputs'!$F28,P$34&lt;='CBA Inputs'!$G28),'CBA Inputs'!$E28/('CBA Inputs'!$G28-'CBA Inputs'!$F28+1),0)*IF(P$34=0,0,1)*CapitalCost_ACTIVE*P$31*IF(Scenario_Select='CBA Inputs'!$J28,1,0)</f>
        <v>0</v>
      </c>
      <c r="Q58" s="17">
        <f>-IF(AND(Q$34&gt;='CBA Inputs'!$F28,Q$34&lt;='CBA Inputs'!$G28),'CBA Inputs'!$E28/('CBA Inputs'!$G28-'CBA Inputs'!$F28+1),0)*IF(Q$34=0,0,1)*CapitalCost_ACTIVE*Q$31*IF(Scenario_Select='CBA Inputs'!$J28,1,0)</f>
        <v>0</v>
      </c>
      <c r="R58" s="17">
        <f>-IF(AND(R$34&gt;='CBA Inputs'!$F28,R$34&lt;='CBA Inputs'!$G28),'CBA Inputs'!$E28/('CBA Inputs'!$G28-'CBA Inputs'!$F28+1),0)*IF(R$34=0,0,1)*CapitalCost_ACTIVE*R$31*IF(Scenario_Select='CBA Inputs'!$J28,1,0)</f>
        <v>0</v>
      </c>
      <c r="S58" s="17">
        <f>-IF(AND(S$34&gt;='CBA Inputs'!$F28,S$34&lt;='CBA Inputs'!$G28),'CBA Inputs'!$E28/('CBA Inputs'!$G28-'CBA Inputs'!$F28+1),0)*IF(S$34=0,0,1)*CapitalCost_ACTIVE*S$31*IF(Scenario_Select='CBA Inputs'!$J28,1,0)</f>
        <v>0</v>
      </c>
      <c r="T58" s="17">
        <f>-IF(AND(T$34&gt;='CBA Inputs'!$F28,T$34&lt;='CBA Inputs'!$G28),'CBA Inputs'!$E28/('CBA Inputs'!$G28-'CBA Inputs'!$F28+1),0)*IF(T$34=0,0,1)*CapitalCost_ACTIVE*T$31*IF(Scenario_Select='CBA Inputs'!$J28,1,0)</f>
        <v>0</v>
      </c>
      <c r="U58" s="17">
        <f>-IF(AND(U$34&gt;='CBA Inputs'!$F28,U$34&lt;='CBA Inputs'!$G28),'CBA Inputs'!$E28/('CBA Inputs'!$G28-'CBA Inputs'!$F28+1),0)*IF(U$34=0,0,1)*CapitalCost_ACTIVE*U$31*IF(Scenario_Select='CBA Inputs'!$J28,1,0)</f>
        <v>0</v>
      </c>
      <c r="V58" s="17">
        <f>-IF(AND(V$34&gt;='CBA Inputs'!$F28,V$34&lt;='CBA Inputs'!$G28),'CBA Inputs'!$E28/('CBA Inputs'!$G28-'CBA Inputs'!$F28+1),0)*IF(V$34=0,0,1)*CapitalCost_ACTIVE*V$31*IF(Scenario_Select='CBA Inputs'!$J28,1,0)</f>
        <v>0</v>
      </c>
      <c r="W58" s="17">
        <f>-IF(AND(W$34&gt;='CBA Inputs'!$F28,W$34&lt;='CBA Inputs'!$G28),'CBA Inputs'!$E28/('CBA Inputs'!$G28-'CBA Inputs'!$F28+1),0)*IF(W$34=0,0,1)*CapitalCost_ACTIVE*W$31*IF(Scenario_Select='CBA Inputs'!$J28,1,0)</f>
        <v>0</v>
      </c>
      <c r="X58" s="17">
        <f>-IF(AND(X$34&gt;='CBA Inputs'!$F28,X$34&lt;='CBA Inputs'!$G28),'CBA Inputs'!$E28/('CBA Inputs'!$G28-'CBA Inputs'!$F28+1),0)*IF(X$34=0,0,1)*CapitalCost_ACTIVE*X$31*IF(Scenario_Select='CBA Inputs'!$J28,1,0)</f>
        <v>0</v>
      </c>
      <c r="Y58" s="17">
        <f>-IF(AND(Y$34&gt;='CBA Inputs'!$F28,Y$34&lt;='CBA Inputs'!$G28),'CBA Inputs'!$E28/('CBA Inputs'!$G28-'CBA Inputs'!$F28+1),0)*IF(Y$34=0,0,1)*CapitalCost_ACTIVE*Y$31*IF(Scenario_Select='CBA Inputs'!$J28,1,0)</f>
        <v>0</v>
      </c>
      <c r="Z58" s="17">
        <f>-IF(AND(Z$34&gt;='CBA Inputs'!$F28,Z$34&lt;='CBA Inputs'!$G28),'CBA Inputs'!$E28/('CBA Inputs'!$G28-'CBA Inputs'!$F28+1),0)*IF(Z$34=0,0,1)*CapitalCost_ACTIVE*Z$31*IF(Scenario_Select='CBA Inputs'!$J28,1,0)</f>
        <v>0</v>
      </c>
      <c r="AA58" s="17">
        <f>-IF(AND(AA$34&gt;='CBA Inputs'!$F28,AA$34&lt;='CBA Inputs'!$G28),'CBA Inputs'!$E28/('CBA Inputs'!$G28-'CBA Inputs'!$F28+1),0)*IF(AA$34=0,0,1)*CapitalCost_ACTIVE*AA$31*IF(Scenario_Select='CBA Inputs'!$J28,1,0)</f>
        <v>0</v>
      </c>
      <c r="AB58" s="17">
        <f>-IF(AND(AB$34&gt;='CBA Inputs'!$F28,AB$34&lt;='CBA Inputs'!$G28),'CBA Inputs'!$E28/('CBA Inputs'!$G28-'CBA Inputs'!$F28+1),0)*IF(AB$34=0,0,1)*CapitalCost_ACTIVE*AB$31*IF(Scenario_Select='CBA Inputs'!$J28,1,0)</f>
        <v>0</v>
      </c>
      <c r="AC58" s="17">
        <f>-IF(AND(AC$34&gt;='CBA Inputs'!$F28,AC$34&lt;='CBA Inputs'!$G28),'CBA Inputs'!$E28/('CBA Inputs'!$G28-'CBA Inputs'!$F28+1),0)*IF(AC$34=0,0,1)*CapitalCost_ACTIVE*AC$31*IF(Scenario_Select='CBA Inputs'!$J28,1,0)</f>
        <v>0</v>
      </c>
      <c r="AD58" s="17">
        <f>-IF(AND(AD$34&gt;='CBA Inputs'!$F28,AD$34&lt;='CBA Inputs'!$G28),'CBA Inputs'!$E28/('CBA Inputs'!$G28-'CBA Inputs'!$F28+1),0)*IF(AD$34=0,0,1)*CapitalCost_ACTIVE*AD$31*IF(Scenario_Select='CBA Inputs'!$J28,1,0)</f>
        <v>0</v>
      </c>
      <c r="AE58" s="17">
        <f>-IF(AND(AE$34&gt;='CBA Inputs'!$F28,AE$34&lt;='CBA Inputs'!$G28),'CBA Inputs'!$E28/('CBA Inputs'!$G28-'CBA Inputs'!$F28+1),0)*IF(AE$34=0,0,1)*CapitalCost_ACTIVE*AE$31*IF(Scenario_Select='CBA Inputs'!$J28,1,0)</f>
        <v>0</v>
      </c>
      <c r="AF58" s="17">
        <f>-IF(AND(AF$34&gt;='CBA Inputs'!$F28,AF$34&lt;='CBA Inputs'!$G28),'CBA Inputs'!$E28/('CBA Inputs'!$G28-'CBA Inputs'!$F28+1),0)*IF(AF$34=0,0,1)*CapitalCost_ACTIVE*AF$31*IF(Scenario_Select='CBA Inputs'!$J28,1,0)</f>
        <v>0</v>
      </c>
      <c r="AG58" s="17">
        <f>-IF(AND(AG$34&gt;='CBA Inputs'!$F28,AG$34&lt;='CBA Inputs'!$G28),'CBA Inputs'!$E28/('CBA Inputs'!$G28-'CBA Inputs'!$F28+1),0)*IF(AG$34=0,0,1)*CapitalCost_ACTIVE*AG$31*IF(Scenario_Select='CBA Inputs'!$J28,1,0)</f>
        <v>0</v>
      </c>
      <c r="AH58" s="17">
        <f>-IF(AND(AH$34&gt;='CBA Inputs'!$F28,AH$34&lt;='CBA Inputs'!$G28),'CBA Inputs'!$E28/('CBA Inputs'!$G28-'CBA Inputs'!$F28+1),0)*IF(AH$34=0,0,1)*CapitalCost_ACTIVE*AH$31*IF(Scenario_Select='CBA Inputs'!$J28,1,0)</f>
        <v>0</v>
      </c>
      <c r="AI58" s="17">
        <f>-IF(AND(AI$34&gt;='CBA Inputs'!$F28,AI$34&lt;='CBA Inputs'!$G28),'CBA Inputs'!$E28/('CBA Inputs'!$G28-'CBA Inputs'!$F28+1),0)*IF(AI$34=0,0,1)*CapitalCost_ACTIVE*AI$31*IF(Scenario_Select='CBA Inputs'!$J28,1,0)</f>
        <v>0</v>
      </c>
      <c r="AJ58" s="17">
        <f>-IF(AND(AJ$34&gt;='CBA Inputs'!$F28,AJ$34&lt;='CBA Inputs'!$G28),'CBA Inputs'!$E28/('CBA Inputs'!$G28-'CBA Inputs'!$F28+1),0)*IF(AJ$34=0,0,1)*CapitalCost_ACTIVE*AJ$31*IF(Scenario_Select='CBA Inputs'!$J28,1,0)</f>
        <v>0</v>
      </c>
      <c r="AK58" s="170">
        <f>IFERROR(PMT(DiscountRate_ACTIVE,'CBA Inputs'!I28,'CBA Inputs'!E28),0)*IF(Scenario_Select='CBA Inputs'!$J28,1,0)</f>
        <v>0</v>
      </c>
      <c r="AN58" s="28"/>
      <c r="AO58" s="28"/>
    </row>
    <row r="59" spans="2:41" hidden="1" x14ac:dyDescent="0.35">
      <c r="B59" s="23" t="str">
        <f>'CBA Inputs'!B29</f>
        <v/>
      </c>
      <c r="C59" s="23">
        <f>'CBA Inputs'!C29</f>
        <v>0</v>
      </c>
      <c r="D59" s="23">
        <f>'CBA Inputs'!D29</f>
        <v>0</v>
      </c>
      <c r="E59" s="12" t="s">
        <v>35</v>
      </c>
      <c r="F59" s="18">
        <f t="shared" si="32"/>
        <v>0</v>
      </c>
      <c r="G59" s="17">
        <f>-IF(AND(G$34&gt;='CBA Inputs'!$F29,G$34&lt;='CBA Inputs'!$G29),'CBA Inputs'!$E29/('CBA Inputs'!$G29-'CBA Inputs'!$F29+1),0)*IF(G$34=0,0,1)*CapitalCost_ACTIVE*G$31*IF(Scenario_Select='CBA Inputs'!$J29,1,0)</f>
        <v>0</v>
      </c>
      <c r="H59" s="17">
        <f>-IF(AND(H$34&gt;='CBA Inputs'!$F29,H$34&lt;='CBA Inputs'!$G29),'CBA Inputs'!$E29/('CBA Inputs'!$G29-'CBA Inputs'!$F29+1),0)*IF(H$34=0,0,1)*CapitalCost_ACTIVE*H$31*IF(Scenario_Select='CBA Inputs'!$J29,1,0)</f>
        <v>0</v>
      </c>
      <c r="I59" s="17">
        <f>-IF(AND(I$34&gt;='CBA Inputs'!$F29,I$34&lt;='CBA Inputs'!$G29),'CBA Inputs'!$E29/('CBA Inputs'!$G29-'CBA Inputs'!$F29+1),0)*IF(I$34=0,0,1)*CapitalCost_ACTIVE*I$31*IF(Scenario_Select='CBA Inputs'!$J29,1,0)</f>
        <v>0</v>
      </c>
      <c r="J59" s="17">
        <f>-IF(AND(J$34&gt;='CBA Inputs'!$F29,J$34&lt;='CBA Inputs'!$G29),'CBA Inputs'!$E29/('CBA Inputs'!$G29-'CBA Inputs'!$F29+1),0)*IF(J$34=0,0,1)*CapitalCost_ACTIVE*J$31*IF(Scenario_Select='CBA Inputs'!$J29,1,0)</f>
        <v>0</v>
      </c>
      <c r="K59" s="17">
        <f>-IF(AND(K$34&gt;='CBA Inputs'!$F29,K$34&lt;='CBA Inputs'!$G29),'CBA Inputs'!$E29/('CBA Inputs'!$G29-'CBA Inputs'!$F29+1),0)*IF(K$34=0,0,1)*CapitalCost_ACTIVE*K$31*IF(Scenario_Select='CBA Inputs'!$J29,1,0)</f>
        <v>0</v>
      </c>
      <c r="L59" s="17">
        <f>-IF(AND(L$34&gt;='CBA Inputs'!$F29,L$34&lt;='CBA Inputs'!$G29),'CBA Inputs'!$E29/('CBA Inputs'!$G29-'CBA Inputs'!$F29+1),0)*IF(L$34=0,0,1)*CapitalCost_ACTIVE*L$31*IF(Scenario_Select='CBA Inputs'!$J29,1,0)</f>
        <v>0</v>
      </c>
      <c r="M59" s="17">
        <f>-IF(AND(M$34&gt;='CBA Inputs'!$F29,M$34&lt;='CBA Inputs'!$G29),'CBA Inputs'!$E29/('CBA Inputs'!$G29-'CBA Inputs'!$F29+1),0)*IF(M$34=0,0,1)*CapitalCost_ACTIVE*M$31*IF(Scenario_Select='CBA Inputs'!$J29,1,0)</f>
        <v>0</v>
      </c>
      <c r="N59" s="17">
        <f>-IF(AND(N$34&gt;='CBA Inputs'!$F29,N$34&lt;='CBA Inputs'!$G29),'CBA Inputs'!$E29/('CBA Inputs'!$G29-'CBA Inputs'!$F29+1),0)*IF(N$34=0,0,1)*CapitalCost_ACTIVE*N$31*IF(Scenario_Select='CBA Inputs'!$J29,1,0)</f>
        <v>0</v>
      </c>
      <c r="O59" s="17">
        <f>-IF(AND(O$34&gt;='CBA Inputs'!$F29,O$34&lt;='CBA Inputs'!$G29),'CBA Inputs'!$E29/('CBA Inputs'!$G29-'CBA Inputs'!$F29+1),0)*IF(O$34=0,0,1)*CapitalCost_ACTIVE*O$31*IF(Scenario_Select='CBA Inputs'!$J29,1,0)</f>
        <v>0</v>
      </c>
      <c r="P59" s="17">
        <f>-IF(AND(P$34&gt;='CBA Inputs'!$F29,P$34&lt;='CBA Inputs'!$G29),'CBA Inputs'!$E29/('CBA Inputs'!$G29-'CBA Inputs'!$F29+1),0)*IF(P$34=0,0,1)*CapitalCost_ACTIVE*P$31*IF(Scenario_Select='CBA Inputs'!$J29,1,0)</f>
        <v>0</v>
      </c>
      <c r="Q59" s="17">
        <f>-IF(AND(Q$34&gt;='CBA Inputs'!$F29,Q$34&lt;='CBA Inputs'!$G29),'CBA Inputs'!$E29/('CBA Inputs'!$G29-'CBA Inputs'!$F29+1),0)*IF(Q$34=0,0,1)*CapitalCost_ACTIVE*Q$31*IF(Scenario_Select='CBA Inputs'!$J29,1,0)</f>
        <v>0</v>
      </c>
      <c r="R59" s="17">
        <f>-IF(AND(R$34&gt;='CBA Inputs'!$F29,R$34&lt;='CBA Inputs'!$G29),'CBA Inputs'!$E29/('CBA Inputs'!$G29-'CBA Inputs'!$F29+1),0)*IF(R$34=0,0,1)*CapitalCost_ACTIVE*R$31*IF(Scenario_Select='CBA Inputs'!$J29,1,0)</f>
        <v>0</v>
      </c>
      <c r="S59" s="17">
        <f>-IF(AND(S$34&gt;='CBA Inputs'!$F29,S$34&lt;='CBA Inputs'!$G29),'CBA Inputs'!$E29/('CBA Inputs'!$G29-'CBA Inputs'!$F29+1),0)*IF(S$34=0,0,1)*CapitalCost_ACTIVE*S$31*IF(Scenario_Select='CBA Inputs'!$J29,1,0)</f>
        <v>0</v>
      </c>
      <c r="T59" s="17">
        <f>-IF(AND(T$34&gt;='CBA Inputs'!$F29,T$34&lt;='CBA Inputs'!$G29),'CBA Inputs'!$E29/('CBA Inputs'!$G29-'CBA Inputs'!$F29+1),0)*IF(T$34=0,0,1)*CapitalCost_ACTIVE*T$31*IF(Scenario_Select='CBA Inputs'!$J29,1,0)</f>
        <v>0</v>
      </c>
      <c r="U59" s="17">
        <f>-IF(AND(U$34&gt;='CBA Inputs'!$F29,U$34&lt;='CBA Inputs'!$G29),'CBA Inputs'!$E29/('CBA Inputs'!$G29-'CBA Inputs'!$F29+1),0)*IF(U$34=0,0,1)*CapitalCost_ACTIVE*U$31*IF(Scenario_Select='CBA Inputs'!$J29,1,0)</f>
        <v>0</v>
      </c>
      <c r="V59" s="17">
        <f>-IF(AND(V$34&gt;='CBA Inputs'!$F29,V$34&lt;='CBA Inputs'!$G29),'CBA Inputs'!$E29/('CBA Inputs'!$G29-'CBA Inputs'!$F29+1),0)*IF(V$34=0,0,1)*CapitalCost_ACTIVE*V$31*IF(Scenario_Select='CBA Inputs'!$J29,1,0)</f>
        <v>0</v>
      </c>
      <c r="W59" s="17">
        <f>-IF(AND(W$34&gt;='CBA Inputs'!$F29,W$34&lt;='CBA Inputs'!$G29),'CBA Inputs'!$E29/('CBA Inputs'!$G29-'CBA Inputs'!$F29+1),0)*IF(W$34=0,0,1)*CapitalCost_ACTIVE*W$31*IF(Scenario_Select='CBA Inputs'!$J29,1,0)</f>
        <v>0</v>
      </c>
      <c r="X59" s="17">
        <f>-IF(AND(X$34&gt;='CBA Inputs'!$F29,X$34&lt;='CBA Inputs'!$G29),'CBA Inputs'!$E29/('CBA Inputs'!$G29-'CBA Inputs'!$F29+1),0)*IF(X$34=0,0,1)*CapitalCost_ACTIVE*X$31*IF(Scenario_Select='CBA Inputs'!$J29,1,0)</f>
        <v>0</v>
      </c>
      <c r="Y59" s="17">
        <f>-IF(AND(Y$34&gt;='CBA Inputs'!$F29,Y$34&lt;='CBA Inputs'!$G29),'CBA Inputs'!$E29/('CBA Inputs'!$G29-'CBA Inputs'!$F29+1),0)*IF(Y$34=0,0,1)*CapitalCost_ACTIVE*Y$31*IF(Scenario_Select='CBA Inputs'!$J29,1,0)</f>
        <v>0</v>
      </c>
      <c r="Z59" s="17">
        <f>-IF(AND(Z$34&gt;='CBA Inputs'!$F29,Z$34&lt;='CBA Inputs'!$G29),'CBA Inputs'!$E29/('CBA Inputs'!$G29-'CBA Inputs'!$F29+1),0)*IF(Z$34=0,0,1)*CapitalCost_ACTIVE*Z$31*IF(Scenario_Select='CBA Inputs'!$J29,1,0)</f>
        <v>0</v>
      </c>
      <c r="AA59" s="17">
        <f>-IF(AND(AA$34&gt;='CBA Inputs'!$F29,AA$34&lt;='CBA Inputs'!$G29),'CBA Inputs'!$E29/('CBA Inputs'!$G29-'CBA Inputs'!$F29+1),0)*IF(AA$34=0,0,1)*CapitalCost_ACTIVE*AA$31*IF(Scenario_Select='CBA Inputs'!$J29,1,0)</f>
        <v>0</v>
      </c>
      <c r="AB59" s="17">
        <f>-IF(AND(AB$34&gt;='CBA Inputs'!$F29,AB$34&lt;='CBA Inputs'!$G29),'CBA Inputs'!$E29/('CBA Inputs'!$G29-'CBA Inputs'!$F29+1),0)*IF(AB$34=0,0,1)*CapitalCost_ACTIVE*AB$31*IF(Scenario_Select='CBA Inputs'!$J29,1,0)</f>
        <v>0</v>
      </c>
      <c r="AC59" s="17">
        <f>-IF(AND(AC$34&gt;='CBA Inputs'!$F29,AC$34&lt;='CBA Inputs'!$G29),'CBA Inputs'!$E29/('CBA Inputs'!$G29-'CBA Inputs'!$F29+1),0)*IF(AC$34=0,0,1)*CapitalCost_ACTIVE*AC$31*IF(Scenario_Select='CBA Inputs'!$J29,1,0)</f>
        <v>0</v>
      </c>
      <c r="AD59" s="17">
        <f>-IF(AND(AD$34&gt;='CBA Inputs'!$F29,AD$34&lt;='CBA Inputs'!$G29),'CBA Inputs'!$E29/('CBA Inputs'!$G29-'CBA Inputs'!$F29+1),0)*IF(AD$34=0,0,1)*CapitalCost_ACTIVE*AD$31*IF(Scenario_Select='CBA Inputs'!$J29,1,0)</f>
        <v>0</v>
      </c>
      <c r="AE59" s="17">
        <f>-IF(AND(AE$34&gt;='CBA Inputs'!$F29,AE$34&lt;='CBA Inputs'!$G29),'CBA Inputs'!$E29/('CBA Inputs'!$G29-'CBA Inputs'!$F29+1),0)*IF(AE$34=0,0,1)*CapitalCost_ACTIVE*AE$31*IF(Scenario_Select='CBA Inputs'!$J29,1,0)</f>
        <v>0</v>
      </c>
      <c r="AF59" s="17">
        <f>-IF(AND(AF$34&gt;='CBA Inputs'!$F29,AF$34&lt;='CBA Inputs'!$G29),'CBA Inputs'!$E29/('CBA Inputs'!$G29-'CBA Inputs'!$F29+1),0)*IF(AF$34=0,0,1)*CapitalCost_ACTIVE*AF$31*IF(Scenario_Select='CBA Inputs'!$J29,1,0)</f>
        <v>0</v>
      </c>
      <c r="AG59" s="17">
        <f>-IF(AND(AG$34&gt;='CBA Inputs'!$F29,AG$34&lt;='CBA Inputs'!$G29),'CBA Inputs'!$E29/('CBA Inputs'!$G29-'CBA Inputs'!$F29+1),0)*IF(AG$34=0,0,1)*CapitalCost_ACTIVE*AG$31*IF(Scenario_Select='CBA Inputs'!$J29,1,0)</f>
        <v>0</v>
      </c>
      <c r="AH59" s="17">
        <f>-IF(AND(AH$34&gt;='CBA Inputs'!$F29,AH$34&lt;='CBA Inputs'!$G29),'CBA Inputs'!$E29/('CBA Inputs'!$G29-'CBA Inputs'!$F29+1),0)*IF(AH$34=0,0,1)*CapitalCost_ACTIVE*AH$31*IF(Scenario_Select='CBA Inputs'!$J29,1,0)</f>
        <v>0</v>
      </c>
      <c r="AI59" s="17">
        <f>-IF(AND(AI$34&gt;='CBA Inputs'!$F29,AI$34&lt;='CBA Inputs'!$G29),'CBA Inputs'!$E29/('CBA Inputs'!$G29-'CBA Inputs'!$F29+1),0)*IF(AI$34=0,0,1)*CapitalCost_ACTIVE*AI$31*IF(Scenario_Select='CBA Inputs'!$J29,1,0)</f>
        <v>0</v>
      </c>
      <c r="AJ59" s="17">
        <f>-IF(AND(AJ$34&gt;='CBA Inputs'!$F29,AJ$34&lt;='CBA Inputs'!$G29),'CBA Inputs'!$E29/('CBA Inputs'!$G29-'CBA Inputs'!$F29+1),0)*IF(AJ$34=0,0,1)*CapitalCost_ACTIVE*AJ$31*IF(Scenario_Select='CBA Inputs'!$J29,1,0)</f>
        <v>0</v>
      </c>
      <c r="AK59" s="170">
        <f>IFERROR(PMT(DiscountRate_ACTIVE,'CBA Inputs'!I29,'CBA Inputs'!E29),0)*IF(Scenario_Select='CBA Inputs'!$J29,1,0)</f>
        <v>0</v>
      </c>
      <c r="AN59" s="28"/>
      <c r="AO59" s="28"/>
    </row>
    <row r="60" spans="2:41" hidden="1" x14ac:dyDescent="0.35">
      <c r="AN60" s="28"/>
      <c r="AO60" s="28"/>
    </row>
    <row r="61" spans="2:41" hidden="1" x14ac:dyDescent="0.35">
      <c r="B61" s="5" t="s">
        <v>129</v>
      </c>
      <c r="C61" s="27"/>
      <c r="D61" s="27"/>
      <c r="E61" s="5"/>
      <c r="F61" s="133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N61" s="28"/>
      <c r="AO61" s="28"/>
    </row>
    <row r="62" spans="2:41" hidden="1" x14ac:dyDescent="0.35">
      <c r="B62" s="7" t="str">
        <f t="shared" ref="B62:AJ62" si="33">B46</f>
        <v>Number</v>
      </c>
      <c r="C62" s="7" t="str">
        <f t="shared" si="33"/>
        <v>Option name</v>
      </c>
      <c r="D62" s="7" t="str">
        <f t="shared" si="33"/>
        <v>Capex component</v>
      </c>
      <c r="E62" s="7" t="str">
        <f t="shared" si="33"/>
        <v>Units</v>
      </c>
      <c r="F62" s="7" t="str">
        <f t="shared" si="33"/>
        <v>PV</v>
      </c>
      <c r="G62" s="7" t="str">
        <f t="shared" si="33"/>
        <v>FY 2019-20</v>
      </c>
      <c r="H62" s="7" t="str">
        <f t="shared" si="33"/>
        <v>FY 2020-21</v>
      </c>
      <c r="I62" s="7" t="str">
        <f t="shared" si="33"/>
        <v>FY 2021-22</v>
      </c>
      <c r="J62" s="7" t="str">
        <f t="shared" si="33"/>
        <v>FY 2022-23</v>
      </c>
      <c r="K62" s="7" t="str">
        <f t="shared" si="33"/>
        <v>FY 2023-24</v>
      </c>
      <c r="L62" s="7" t="str">
        <f t="shared" si="33"/>
        <v>FY 2024-25</v>
      </c>
      <c r="M62" s="7" t="str">
        <f t="shared" si="33"/>
        <v>FY 2025-26</v>
      </c>
      <c r="N62" s="7" t="str">
        <f t="shared" si="33"/>
        <v>FY 2026-27</v>
      </c>
      <c r="O62" s="7" t="str">
        <f t="shared" si="33"/>
        <v>FY 2027-28</v>
      </c>
      <c r="P62" s="7" t="str">
        <f t="shared" si="33"/>
        <v>FY 2028-29</v>
      </c>
      <c r="Q62" s="7" t="str">
        <f t="shared" si="33"/>
        <v>FY 2029-30</v>
      </c>
      <c r="R62" s="7" t="str">
        <f t="shared" si="33"/>
        <v>FY 2030-31</v>
      </c>
      <c r="S62" s="7" t="str">
        <f t="shared" si="33"/>
        <v>FY 2031-32</v>
      </c>
      <c r="T62" s="7" t="str">
        <f t="shared" si="33"/>
        <v>FY 2032-33</v>
      </c>
      <c r="U62" s="7" t="str">
        <f t="shared" si="33"/>
        <v>FY 2033-34</v>
      </c>
      <c r="V62" s="7" t="str">
        <f t="shared" si="33"/>
        <v>FY 2034-35</v>
      </c>
      <c r="W62" s="7" t="str">
        <f t="shared" si="33"/>
        <v>FY 2035-36</v>
      </c>
      <c r="X62" s="7" t="str">
        <f t="shared" si="33"/>
        <v>FY 2036-37</v>
      </c>
      <c r="Y62" s="7" t="str">
        <f t="shared" si="33"/>
        <v>FY 2037-38</v>
      </c>
      <c r="Z62" s="7" t="str">
        <f t="shared" si="33"/>
        <v>FY 2038-39</v>
      </c>
      <c r="AA62" s="7" t="str">
        <f t="shared" si="33"/>
        <v>FY 2039-40</v>
      </c>
      <c r="AB62" s="7" t="str">
        <f t="shared" si="33"/>
        <v>FY 2040-41</v>
      </c>
      <c r="AC62" s="7" t="str">
        <f t="shared" si="33"/>
        <v>FY 2041-42</v>
      </c>
      <c r="AD62" s="7" t="str">
        <f t="shared" si="33"/>
        <v>FY 2042-43</v>
      </c>
      <c r="AE62" s="7" t="str">
        <f t="shared" si="33"/>
        <v>FY 2043-44</v>
      </c>
      <c r="AF62" s="7" t="str">
        <f t="shared" si="33"/>
        <v>FY 2044-45</v>
      </c>
      <c r="AG62" s="7" t="str">
        <f t="shared" si="33"/>
        <v>FY 2045-46</v>
      </c>
      <c r="AH62" s="7" t="str">
        <f t="shared" si="33"/>
        <v>FY 2046-47</v>
      </c>
      <c r="AI62" s="7" t="str">
        <f t="shared" si="33"/>
        <v>FY 2047-48</v>
      </c>
      <c r="AJ62" s="7" t="str">
        <f t="shared" si="33"/>
        <v>FY 2048-49</v>
      </c>
      <c r="AN62" s="28"/>
      <c r="AO62" s="28"/>
    </row>
    <row r="63" spans="2:41" hidden="1" x14ac:dyDescent="0.35">
      <c r="B63" s="9" t="str">
        <f t="shared" ref="B63:D67" si="34">+B55</f>
        <v/>
      </c>
      <c r="C63" s="25">
        <f t="shared" si="34"/>
        <v>0</v>
      </c>
      <c r="D63" s="25">
        <f t="shared" si="34"/>
        <v>0</v>
      </c>
      <c r="E63" s="12" t="s">
        <v>35</v>
      </c>
      <c r="F63" s="18">
        <f t="shared" ref="F63:F67" si="35">NPV(DiscountRate_ACTIVE,G63:AJ63)/(1+DiscountRate_ACTIVE)^(FirstYear-BaseYear-2)</f>
        <v>0</v>
      </c>
      <c r="G63" s="17">
        <f>IFERROR(IF(G$34&gt;='CBA Inputs'!$H25,MAX('CBA Inputs'!$E25-'CBA Inputs'!$E25/'CBA Inputs'!$I25*(G$34-'CBA Inputs'!$H25+1),0),0)*IF(G$34=FirstYear+AnalysisPeriod-1,1,0),0)*CapitalCost_ACTIVE*G$31*IF(Scenario_Select='CBA Inputs'!$J25,1,0)</f>
        <v>0</v>
      </c>
      <c r="H63" s="17">
        <f>IFERROR(IF(H$34&gt;='CBA Inputs'!$H25,MAX('CBA Inputs'!$E25-'CBA Inputs'!$E25/'CBA Inputs'!$I25*(H$34-'CBA Inputs'!$H25+1),0),0)*IF(H$34=FirstYear+AnalysisPeriod-1,1,0),0)*CapitalCost_ACTIVE*H$31*IF(Scenario_Select='CBA Inputs'!$J25,1,0)</f>
        <v>0</v>
      </c>
      <c r="I63" s="17">
        <f>IFERROR(IF(I$34&gt;='CBA Inputs'!$H25,MAX('CBA Inputs'!$E25-'CBA Inputs'!$E25/'CBA Inputs'!$I25*(I$34-'CBA Inputs'!$H25+1),0),0)*IF(I$34=FirstYear+AnalysisPeriod-1,1,0),0)*CapitalCost_ACTIVE*I$31*IF(Scenario_Select='CBA Inputs'!$J25,1,0)</f>
        <v>0</v>
      </c>
      <c r="J63" s="17">
        <f>IFERROR(IF(J$34&gt;='CBA Inputs'!$H25,MAX('CBA Inputs'!$E25-'CBA Inputs'!$E25/'CBA Inputs'!$I25*(J$34-'CBA Inputs'!$H25+1),0),0)*IF(J$34=FirstYear+AnalysisPeriod-1,1,0),0)*CapitalCost_ACTIVE*J$31*IF(Scenario_Select='CBA Inputs'!$J25,1,0)</f>
        <v>0</v>
      </c>
      <c r="K63" s="17">
        <f>IFERROR(IF(K$34&gt;='CBA Inputs'!$H25,MAX('CBA Inputs'!$E25-'CBA Inputs'!$E25/'CBA Inputs'!$I25*(K$34-'CBA Inputs'!$H25+1),0),0)*IF(K$34=FirstYear+AnalysisPeriod-1,1,0),0)*CapitalCost_ACTIVE*K$31*IF(Scenario_Select='CBA Inputs'!$J25,1,0)</f>
        <v>0</v>
      </c>
      <c r="L63" s="17">
        <f>IFERROR(IF(L$34&gt;='CBA Inputs'!$H25,MAX('CBA Inputs'!$E25-'CBA Inputs'!$E25/'CBA Inputs'!$I25*(L$34-'CBA Inputs'!$H25+1),0),0)*IF(L$34=FirstYear+AnalysisPeriod-1,1,0),0)*CapitalCost_ACTIVE*L$31*IF(Scenario_Select='CBA Inputs'!$J25,1,0)</f>
        <v>0</v>
      </c>
      <c r="M63" s="17">
        <f>IFERROR(IF(M$34&gt;='CBA Inputs'!$H25,MAX('CBA Inputs'!$E25-'CBA Inputs'!$E25/'CBA Inputs'!$I25*(M$34-'CBA Inputs'!$H25+1),0),0)*IF(M$34=FirstYear+AnalysisPeriod-1,1,0),0)*CapitalCost_ACTIVE*M$31*IF(Scenario_Select='CBA Inputs'!$J25,1,0)</f>
        <v>0</v>
      </c>
      <c r="N63" s="17">
        <f>IFERROR(IF(N$34&gt;='CBA Inputs'!$H25,MAX('CBA Inputs'!$E25-'CBA Inputs'!$E25/'CBA Inputs'!$I25*(N$34-'CBA Inputs'!$H25+1),0),0)*IF(N$34=FirstYear+AnalysisPeriod-1,1,0),0)*CapitalCost_ACTIVE*N$31*IF(Scenario_Select='CBA Inputs'!$J25,1,0)</f>
        <v>0</v>
      </c>
      <c r="O63" s="17">
        <f>IFERROR(IF(O$34&gt;='CBA Inputs'!$H25,MAX('CBA Inputs'!$E25-'CBA Inputs'!$E25/'CBA Inputs'!$I25*(O$34-'CBA Inputs'!$H25+1),0),0)*IF(O$34=FirstYear+AnalysisPeriod-1,1,0),0)*CapitalCost_ACTIVE*O$31*IF(Scenario_Select='CBA Inputs'!$J25,1,0)</f>
        <v>0</v>
      </c>
      <c r="P63" s="17">
        <f>IFERROR(IF(P$34&gt;='CBA Inputs'!$H25,MAX('CBA Inputs'!$E25-'CBA Inputs'!$E25/'CBA Inputs'!$I25*(P$34-'CBA Inputs'!$H25+1),0),0)*IF(P$34=FirstYear+AnalysisPeriod-1,1,0),0)*CapitalCost_ACTIVE*P$31*IF(Scenario_Select='CBA Inputs'!$J25,1,0)</f>
        <v>0</v>
      </c>
      <c r="Q63" s="17">
        <f>IFERROR(IF(Q$34&gt;='CBA Inputs'!$H25,MAX('CBA Inputs'!$E25-'CBA Inputs'!$E25/'CBA Inputs'!$I25*(Q$34-'CBA Inputs'!$H25+1),0),0)*IF(Q$34=FirstYear+AnalysisPeriod-1,1,0),0)*CapitalCost_ACTIVE*Q$31*IF(Scenario_Select='CBA Inputs'!$J25,1,0)</f>
        <v>0</v>
      </c>
      <c r="R63" s="17">
        <f>IFERROR(IF(R$34&gt;='CBA Inputs'!$H25,MAX('CBA Inputs'!$E25-'CBA Inputs'!$E25/'CBA Inputs'!$I25*(R$34-'CBA Inputs'!$H25+1),0),0)*IF(R$34=FirstYear+AnalysisPeriod-1,1,0),0)*CapitalCost_ACTIVE*R$31*IF(Scenario_Select='CBA Inputs'!$J25,1,0)</f>
        <v>0</v>
      </c>
      <c r="S63" s="17">
        <f>IFERROR(IF(S$34&gt;='CBA Inputs'!$H25,MAX('CBA Inputs'!$E25-'CBA Inputs'!$E25/'CBA Inputs'!$I25*(S$34-'CBA Inputs'!$H25+1),0),0)*IF(S$34=FirstYear+AnalysisPeriod-1,1,0),0)*CapitalCost_ACTIVE*S$31*IF(Scenario_Select='CBA Inputs'!$J25,1,0)</f>
        <v>0</v>
      </c>
      <c r="T63" s="17">
        <f>IFERROR(IF(T$34&gt;='CBA Inputs'!$H25,MAX('CBA Inputs'!$E25-'CBA Inputs'!$E25/'CBA Inputs'!$I25*(T$34-'CBA Inputs'!$H25+1),0),0)*IF(T$34=FirstYear+AnalysisPeriod-1,1,0),0)*CapitalCost_ACTIVE*T$31*IF(Scenario_Select='CBA Inputs'!$J25,1,0)</f>
        <v>0</v>
      </c>
      <c r="U63" s="17">
        <f>IFERROR(IF(U$34&gt;='CBA Inputs'!$H25,MAX('CBA Inputs'!$E25-'CBA Inputs'!$E25/'CBA Inputs'!$I25*(U$34-'CBA Inputs'!$H25+1),0),0)*IF(U$34=FirstYear+AnalysisPeriod-1,1,0),0)*CapitalCost_ACTIVE*U$31*IF(Scenario_Select='CBA Inputs'!$J25,1,0)</f>
        <v>0</v>
      </c>
      <c r="V63" s="17">
        <f>IFERROR(IF(V$34&gt;='CBA Inputs'!$H25,MAX('CBA Inputs'!$E25-'CBA Inputs'!$E25/'CBA Inputs'!$I25*(V$34-'CBA Inputs'!$H25+1),0),0)*IF(V$34=FirstYear+AnalysisPeriod-1,1,0),0)*CapitalCost_ACTIVE*V$31*IF(Scenario_Select='CBA Inputs'!$J25,1,0)</f>
        <v>0</v>
      </c>
      <c r="W63" s="17">
        <f>IFERROR(IF(W$34&gt;='CBA Inputs'!$H25,MAX('CBA Inputs'!$E25-'CBA Inputs'!$E25/'CBA Inputs'!$I25*(W$34-'CBA Inputs'!$H25+1),0),0)*IF(W$34=FirstYear+AnalysisPeriod-1,1,0),0)*CapitalCost_ACTIVE*W$31*IF(Scenario_Select='CBA Inputs'!$J25,1,0)</f>
        <v>0</v>
      </c>
      <c r="X63" s="17">
        <f>IFERROR(IF(X$34&gt;='CBA Inputs'!$H25,MAX('CBA Inputs'!$E25-'CBA Inputs'!$E25/'CBA Inputs'!$I25*(X$34-'CBA Inputs'!$H25+1),0),0)*IF(X$34=FirstYear+AnalysisPeriod-1,1,0),0)*CapitalCost_ACTIVE*X$31*IF(Scenario_Select='CBA Inputs'!$J25,1,0)</f>
        <v>0</v>
      </c>
      <c r="Y63" s="17">
        <f>IFERROR(IF(Y$34&gt;='CBA Inputs'!$H25,MAX('CBA Inputs'!$E25-'CBA Inputs'!$E25/'CBA Inputs'!$I25*(Y$34-'CBA Inputs'!$H25+1),0),0)*IF(Y$34=FirstYear+AnalysisPeriod-1,1,0),0)*CapitalCost_ACTIVE*Y$31*IF(Scenario_Select='CBA Inputs'!$J25,1,0)</f>
        <v>0</v>
      </c>
      <c r="Z63" s="17">
        <f>IFERROR(IF(Z$34&gt;='CBA Inputs'!$H25,MAX('CBA Inputs'!$E25-'CBA Inputs'!$E25/'CBA Inputs'!$I25*(Z$34-'CBA Inputs'!$H25+1),0),0)*IF(Z$34=FirstYear+AnalysisPeriod-1,1,0),0)*CapitalCost_ACTIVE*Z$31*IF(Scenario_Select='CBA Inputs'!$J25,1,0)</f>
        <v>0</v>
      </c>
      <c r="AA63" s="17">
        <f>IFERROR(IF(AA$34&gt;='CBA Inputs'!$H25,MAX('CBA Inputs'!$E25-'CBA Inputs'!$E25/'CBA Inputs'!$I25*(AA$34-'CBA Inputs'!$H25+1),0),0)*IF(AA$34=FirstYear+AnalysisPeriod-1,1,0),0)*CapitalCost_ACTIVE*AA$31*IF(Scenario_Select='CBA Inputs'!$J25,1,0)</f>
        <v>0</v>
      </c>
      <c r="AB63" s="17">
        <f>IFERROR(IF(AB$34&gt;='CBA Inputs'!$H25,MAX('CBA Inputs'!$E25-'CBA Inputs'!$E25/'CBA Inputs'!$I25*(AB$34-'CBA Inputs'!$H25+1),0),0)*IF(AB$34=FirstYear+AnalysisPeriod-1,1,0),0)*CapitalCost_ACTIVE*AB$31*IF(Scenario_Select='CBA Inputs'!$J25,1,0)</f>
        <v>0</v>
      </c>
      <c r="AC63" s="17">
        <f>IFERROR(IF(AC$34&gt;='CBA Inputs'!$H25,MAX('CBA Inputs'!$E25-'CBA Inputs'!$E25/'CBA Inputs'!$I25*(AC$34-'CBA Inputs'!$H25+1),0),0)*IF(AC$34=FirstYear+AnalysisPeriod-1,1,0),0)*CapitalCost_ACTIVE*AC$31*IF(Scenario_Select='CBA Inputs'!$J25,1,0)</f>
        <v>0</v>
      </c>
      <c r="AD63" s="17">
        <f>IFERROR(IF(AD$34&gt;='CBA Inputs'!$H25,MAX('CBA Inputs'!$E25-'CBA Inputs'!$E25/'CBA Inputs'!$I25*(AD$34-'CBA Inputs'!$H25+1),0),0)*IF(AD$34=FirstYear+AnalysisPeriod-1,1,0),0)*CapitalCost_ACTIVE*AD$31*IF(Scenario_Select='CBA Inputs'!$J25,1,0)</f>
        <v>0</v>
      </c>
      <c r="AE63" s="17">
        <f>IFERROR(IF(AE$34&gt;='CBA Inputs'!$H25,MAX('CBA Inputs'!$E25-'CBA Inputs'!$E25/'CBA Inputs'!$I25*(AE$34-'CBA Inputs'!$H25+1),0),0)*IF(AE$34=FirstYear+AnalysisPeriod-1,1,0),0)*CapitalCost_ACTIVE*AE$31*IF(Scenario_Select='CBA Inputs'!$J25,1,0)</f>
        <v>0</v>
      </c>
      <c r="AF63" s="17">
        <f>IFERROR(IF(AF$34&gt;='CBA Inputs'!$H25,MAX('CBA Inputs'!$E25-'CBA Inputs'!$E25/'CBA Inputs'!$I25*(AF$34-'CBA Inputs'!$H25+1),0),0)*IF(AF$34=FirstYear+AnalysisPeriod-1,1,0),0)*CapitalCost_ACTIVE*AF$31*IF(Scenario_Select='CBA Inputs'!$J25,1,0)</f>
        <v>0</v>
      </c>
      <c r="AG63" s="17">
        <f>IFERROR(IF(AG$34&gt;='CBA Inputs'!$H25,MAX('CBA Inputs'!$E25-'CBA Inputs'!$E25/'CBA Inputs'!$I25*(AG$34-'CBA Inputs'!$H25+1),0),0)*IF(AG$34=FirstYear+AnalysisPeriod-1,1,0),0)*CapitalCost_ACTIVE*AG$31*IF(Scenario_Select='CBA Inputs'!$J25,1,0)</f>
        <v>0</v>
      </c>
      <c r="AH63" s="17">
        <f>IFERROR(IF(AH$34&gt;='CBA Inputs'!$H25,MAX('CBA Inputs'!$E25-'CBA Inputs'!$E25/'CBA Inputs'!$I25*(AH$34-'CBA Inputs'!$H25+1),0),0)*IF(AH$34=FirstYear+AnalysisPeriod-1,1,0),0)*CapitalCost_ACTIVE*AH$31*IF(Scenario_Select='CBA Inputs'!$J25,1,0)</f>
        <v>0</v>
      </c>
      <c r="AI63" s="17">
        <f>IFERROR(IF(AI$34&gt;='CBA Inputs'!$H25,MAX('CBA Inputs'!$E25-'CBA Inputs'!$E25/'CBA Inputs'!$I25*(AI$34-'CBA Inputs'!$H25+1),0),0)*IF(AI$34=FirstYear+AnalysisPeriod-1,1,0),0)*CapitalCost_ACTIVE*AI$31*IF(Scenario_Select='CBA Inputs'!$J25,1,0)</f>
        <v>0</v>
      </c>
      <c r="AJ63" s="17">
        <f>IFERROR(IF(AJ$34&gt;='CBA Inputs'!$H25,MAX('CBA Inputs'!$E25-'CBA Inputs'!$E25/'CBA Inputs'!$I25*(AJ$34-'CBA Inputs'!$H25+1),0),0)*IF(AJ$34=FirstYear+AnalysisPeriod-1,1,0),0)*CapitalCost_ACTIVE*AJ$31*IF(Scenario_Select='CBA Inputs'!$J25,1,0)</f>
        <v>0</v>
      </c>
      <c r="AN63" s="28"/>
      <c r="AO63" s="28"/>
    </row>
    <row r="64" spans="2:41" hidden="1" x14ac:dyDescent="0.35">
      <c r="B64" s="9" t="str">
        <f t="shared" si="34"/>
        <v/>
      </c>
      <c r="C64" s="25">
        <f t="shared" si="34"/>
        <v>0</v>
      </c>
      <c r="D64" s="25">
        <f t="shared" si="34"/>
        <v>0</v>
      </c>
      <c r="E64" s="12" t="s">
        <v>35</v>
      </c>
      <c r="F64" s="18">
        <f t="shared" si="35"/>
        <v>0</v>
      </c>
      <c r="G64" s="17">
        <f>IFERROR(IF(G$34&gt;='CBA Inputs'!$H26,MAX('CBA Inputs'!$E26-'CBA Inputs'!$E26/'CBA Inputs'!$I26*(G$34-'CBA Inputs'!$H26+1),0),0)*IF(G$34=FirstYear+AnalysisPeriod-1,1,0),0)*CapitalCost_ACTIVE*G$31*IF(Scenario_Select='CBA Inputs'!$J26,1,0)</f>
        <v>0</v>
      </c>
      <c r="H64" s="17">
        <f>IFERROR(IF(H$34&gt;='CBA Inputs'!$H26,MAX('CBA Inputs'!$E26-'CBA Inputs'!$E26/'CBA Inputs'!$I26*(H$34-'CBA Inputs'!$H26+1),0),0)*IF(H$34=FirstYear+AnalysisPeriod-1,1,0),0)*CapitalCost_ACTIVE*H$31*IF(Scenario_Select='CBA Inputs'!$J26,1,0)</f>
        <v>0</v>
      </c>
      <c r="I64" s="17">
        <f>IFERROR(IF(I$34&gt;='CBA Inputs'!$H26,MAX('CBA Inputs'!$E26-'CBA Inputs'!$E26/'CBA Inputs'!$I26*(I$34-'CBA Inputs'!$H26+1),0),0)*IF(I$34=FirstYear+AnalysisPeriod-1,1,0),0)*CapitalCost_ACTIVE*I$31*IF(Scenario_Select='CBA Inputs'!$J26,1,0)</f>
        <v>0</v>
      </c>
      <c r="J64" s="17">
        <f>IFERROR(IF(J$34&gt;='CBA Inputs'!$H26,MAX('CBA Inputs'!$E26-'CBA Inputs'!$E26/'CBA Inputs'!$I26*(J$34-'CBA Inputs'!$H26+1),0),0)*IF(J$34=FirstYear+AnalysisPeriod-1,1,0),0)*CapitalCost_ACTIVE*J$31*IF(Scenario_Select='CBA Inputs'!$J26,1,0)</f>
        <v>0</v>
      </c>
      <c r="K64" s="17">
        <f>IFERROR(IF(K$34&gt;='CBA Inputs'!$H26,MAX('CBA Inputs'!$E26-'CBA Inputs'!$E26/'CBA Inputs'!$I26*(K$34-'CBA Inputs'!$H26+1),0),0)*IF(K$34=FirstYear+AnalysisPeriod-1,1,0),0)*CapitalCost_ACTIVE*K$31*IF(Scenario_Select='CBA Inputs'!$J26,1,0)</f>
        <v>0</v>
      </c>
      <c r="L64" s="17">
        <f>IFERROR(IF(L$34&gt;='CBA Inputs'!$H26,MAX('CBA Inputs'!$E26-'CBA Inputs'!$E26/'CBA Inputs'!$I26*(L$34-'CBA Inputs'!$H26+1),0),0)*IF(L$34=FirstYear+AnalysisPeriod-1,1,0),0)*CapitalCost_ACTIVE*L$31*IF(Scenario_Select='CBA Inputs'!$J26,1,0)</f>
        <v>0</v>
      </c>
      <c r="M64" s="17">
        <f>IFERROR(IF(M$34&gt;='CBA Inputs'!$H26,MAX('CBA Inputs'!$E26-'CBA Inputs'!$E26/'CBA Inputs'!$I26*(M$34-'CBA Inputs'!$H26+1),0),0)*IF(M$34=FirstYear+AnalysisPeriod-1,1,0),0)*CapitalCost_ACTIVE*M$31*IF(Scenario_Select='CBA Inputs'!$J26,1,0)</f>
        <v>0</v>
      </c>
      <c r="N64" s="17">
        <f>IFERROR(IF(N$34&gt;='CBA Inputs'!$H26,MAX('CBA Inputs'!$E26-'CBA Inputs'!$E26/'CBA Inputs'!$I26*(N$34-'CBA Inputs'!$H26+1),0),0)*IF(N$34=FirstYear+AnalysisPeriod-1,1,0),0)*CapitalCost_ACTIVE*N$31*IF(Scenario_Select='CBA Inputs'!$J26,1,0)</f>
        <v>0</v>
      </c>
      <c r="O64" s="17">
        <f>IFERROR(IF(O$34&gt;='CBA Inputs'!$H26,MAX('CBA Inputs'!$E26-'CBA Inputs'!$E26/'CBA Inputs'!$I26*(O$34-'CBA Inputs'!$H26+1),0),0)*IF(O$34=FirstYear+AnalysisPeriod-1,1,0),0)*CapitalCost_ACTIVE*O$31*IF(Scenario_Select='CBA Inputs'!$J26,1,0)</f>
        <v>0</v>
      </c>
      <c r="P64" s="17">
        <f>IFERROR(IF(P$34&gt;='CBA Inputs'!$H26,MAX('CBA Inputs'!$E26-'CBA Inputs'!$E26/'CBA Inputs'!$I26*(P$34-'CBA Inputs'!$H26+1),0),0)*IF(P$34=FirstYear+AnalysisPeriod-1,1,0),0)*CapitalCost_ACTIVE*P$31*IF(Scenario_Select='CBA Inputs'!$J26,1,0)</f>
        <v>0</v>
      </c>
      <c r="Q64" s="17">
        <f>IFERROR(IF(Q$34&gt;='CBA Inputs'!$H26,MAX('CBA Inputs'!$E26-'CBA Inputs'!$E26/'CBA Inputs'!$I26*(Q$34-'CBA Inputs'!$H26+1),0),0)*IF(Q$34=FirstYear+AnalysisPeriod-1,1,0),0)*CapitalCost_ACTIVE*Q$31*IF(Scenario_Select='CBA Inputs'!$J26,1,0)</f>
        <v>0</v>
      </c>
      <c r="R64" s="17">
        <f>IFERROR(IF(R$34&gt;='CBA Inputs'!$H26,MAX('CBA Inputs'!$E26-'CBA Inputs'!$E26/'CBA Inputs'!$I26*(R$34-'CBA Inputs'!$H26+1),0),0)*IF(R$34=FirstYear+AnalysisPeriod-1,1,0),0)*CapitalCost_ACTIVE*R$31*IF(Scenario_Select='CBA Inputs'!$J26,1,0)</f>
        <v>0</v>
      </c>
      <c r="S64" s="17">
        <f>IFERROR(IF(S$34&gt;='CBA Inputs'!$H26,MAX('CBA Inputs'!$E26-'CBA Inputs'!$E26/'CBA Inputs'!$I26*(S$34-'CBA Inputs'!$H26+1),0),0)*IF(S$34=FirstYear+AnalysisPeriod-1,1,0),0)*CapitalCost_ACTIVE*S$31*IF(Scenario_Select='CBA Inputs'!$J26,1,0)</f>
        <v>0</v>
      </c>
      <c r="T64" s="17">
        <f>IFERROR(IF(T$34&gt;='CBA Inputs'!$H26,MAX('CBA Inputs'!$E26-'CBA Inputs'!$E26/'CBA Inputs'!$I26*(T$34-'CBA Inputs'!$H26+1),0),0)*IF(T$34=FirstYear+AnalysisPeriod-1,1,0),0)*CapitalCost_ACTIVE*T$31*IF(Scenario_Select='CBA Inputs'!$J26,1,0)</f>
        <v>0</v>
      </c>
      <c r="U64" s="17">
        <f>IFERROR(IF(U$34&gt;='CBA Inputs'!$H26,MAX('CBA Inputs'!$E26-'CBA Inputs'!$E26/'CBA Inputs'!$I26*(U$34-'CBA Inputs'!$H26+1),0),0)*IF(U$34=FirstYear+AnalysisPeriod-1,1,0),0)*CapitalCost_ACTIVE*U$31*IF(Scenario_Select='CBA Inputs'!$J26,1,0)</f>
        <v>0</v>
      </c>
      <c r="V64" s="17">
        <f>IFERROR(IF(V$34&gt;='CBA Inputs'!$H26,MAX('CBA Inputs'!$E26-'CBA Inputs'!$E26/'CBA Inputs'!$I26*(V$34-'CBA Inputs'!$H26+1),0),0)*IF(V$34=FirstYear+AnalysisPeriod-1,1,0),0)*CapitalCost_ACTIVE*V$31*IF(Scenario_Select='CBA Inputs'!$J26,1,0)</f>
        <v>0</v>
      </c>
      <c r="W64" s="17">
        <f>IFERROR(IF(W$34&gt;='CBA Inputs'!$H26,MAX('CBA Inputs'!$E26-'CBA Inputs'!$E26/'CBA Inputs'!$I26*(W$34-'CBA Inputs'!$H26+1),0),0)*IF(W$34=FirstYear+AnalysisPeriod-1,1,0),0)*CapitalCost_ACTIVE*W$31*IF(Scenario_Select='CBA Inputs'!$J26,1,0)</f>
        <v>0</v>
      </c>
      <c r="X64" s="17">
        <f>IFERROR(IF(X$34&gt;='CBA Inputs'!$H26,MAX('CBA Inputs'!$E26-'CBA Inputs'!$E26/'CBA Inputs'!$I26*(X$34-'CBA Inputs'!$H26+1),0),0)*IF(X$34=FirstYear+AnalysisPeriod-1,1,0),0)*CapitalCost_ACTIVE*X$31*IF(Scenario_Select='CBA Inputs'!$J26,1,0)</f>
        <v>0</v>
      </c>
      <c r="Y64" s="17">
        <f>IFERROR(IF(Y$34&gt;='CBA Inputs'!$H26,MAX('CBA Inputs'!$E26-'CBA Inputs'!$E26/'CBA Inputs'!$I26*(Y$34-'CBA Inputs'!$H26+1),0),0)*IF(Y$34=FirstYear+AnalysisPeriod-1,1,0),0)*CapitalCost_ACTIVE*Y$31*IF(Scenario_Select='CBA Inputs'!$J26,1,0)</f>
        <v>0</v>
      </c>
      <c r="Z64" s="17">
        <f>IFERROR(IF(Z$34&gt;='CBA Inputs'!$H26,MAX('CBA Inputs'!$E26-'CBA Inputs'!$E26/'CBA Inputs'!$I26*(Z$34-'CBA Inputs'!$H26+1),0),0)*IF(Z$34=FirstYear+AnalysisPeriod-1,1,0),0)*CapitalCost_ACTIVE*Z$31*IF(Scenario_Select='CBA Inputs'!$J26,1,0)</f>
        <v>0</v>
      </c>
      <c r="AA64" s="17">
        <f>IFERROR(IF(AA$34&gt;='CBA Inputs'!$H26,MAX('CBA Inputs'!$E26-'CBA Inputs'!$E26/'CBA Inputs'!$I26*(AA$34-'CBA Inputs'!$H26+1),0),0)*IF(AA$34=FirstYear+AnalysisPeriod-1,1,0),0)*CapitalCost_ACTIVE*AA$31*IF(Scenario_Select='CBA Inputs'!$J26,1,0)</f>
        <v>0</v>
      </c>
      <c r="AB64" s="17">
        <f>IFERROR(IF(AB$34&gt;='CBA Inputs'!$H26,MAX('CBA Inputs'!$E26-'CBA Inputs'!$E26/'CBA Inputs'!$I26*(AB$34-'CBA Inputs'!$H26+1),0),0)*IF(AB$34=FirstYear+AnalysisPeriod-1,1,0),0)*CapitalCost_ACTIVE*AB$31*IF(Scenario_Select='CBA Inputs'!$J26,1,0)</f>
        <v>0</v>
      </c>
      <c r="AC64" s="17">
        <f>IFERROR(IF(AC$34&gt;='CBA Inputs'!$H26,MAX('CBA Inputs'!$E26-'CBA Inputs'!$E26/'CBA Inputs'!$I26*(AC$34-'CBA Inputs'!$H26+1),0),0)*IF(AC$34=FirstYear+AnalysisPeriod-1,1,0),0)*CapitalCost_ACTIVE*AC$31*IF(Scenario_Select='CBA Inputs'!$J26,1,0)</f>
        <v>0</v>
      </c>
      <c r="AD64" s="17">
        <f>IFERROR(IF(AD$34&gt;='CBA Inputs'!$H26,MAX('CBA Inputs'!$E26-'CBA Inputs'!$E26/'CBA Inputs'!$I26*(AD$34-'CBA Inputs'!$H26+1),0),0)*IF(AD$34=FirstYear+AnalysisPeriod-1,1,0),0)*CapitalCost_ACTIVE*AD$31*IF(Scenario_Select='CBA Inputs'!$J26,1,0)</f>
        <v>0</v>
      </c>
      <c r="AE64" s="17">
        <f>IFERROR(IF(AE$34&gt;='CBA Inputs'!$H26,MAX('CBA Inputs'!$E26-'CBA Inputs'!$E26/'CBA Inputs'!$I26*(AE$34-'CBA Inputs'!$H26+1),0),0)*IF(AE$34=FirstYear+AnalysisPeriod-1,1,0),0)*CapitalCost_ACTIVE*AE$31*IF(Scenario_Select='CBA Inputs'!$J26,1,0)</f>
        <v>0</v>
      </c>
      <c r="AF64" s="17">
        <f>IFERROR(IF(AF$34&gt;='CBA Inputs'!$H26,MAX('CBA Inputs'!$E26-'CBA Inputs'!$E26/'CBA Inputs'!$I26*(AF$34-'CBA Inputs'!$H26+1),0),0)*IF(AF$34=FirstYear+AnalysisPeriod-1,1,0),0)*CapitalCost_ACTIVE*AF$31*IF(Scenario_Select='CBA Inputs'!$J26,1,0)</f>
        <v>0</v>
      </c>
      <c r="AG64" s="17">
        <f>IFERROR(IF(AG$34&gt;='CBA Inputs'!$H26,MAX('CBA Inputs'!$E26-'CBA Inputs'!$E26/'CBA Inputs'!$I26*(AG$34-'CBA Inputs'!$H26+1),0),0)*IF(AG$34=FirstYear+AnalysisPeriod-1,1,0),0)*CapitalCost_ACTIVE*AG$31*IF(Scenario_Select='CBA Inputs'!$J26,1,0)</f>
        <v>0</v>
      </c>
      <c r="AH64" s="17">
        <f>IFERROR(IF(AH$34&gt;='CBA Inputs'!$H26,MAX('CBA Inputs'!$E26-'CBA Inputs'!$E26/'CBA Inputs'!$I26*(AH$34-'CBA Inputs'!$H26+1),0),0)*IF(AH$34=FirstYear+AnalysisPeriod-1,1,0),0)*CapitalCost_ACTIVE*AH$31*IF(Scenario_Select='CBA Inputs'!$J26,1,0)</f>
        <v>0</v>
      </c>
      <c r="AI64" s="17">
        <f>IFERROR(IF(AI$34&gt;='CBA Inputs'!$H26,MAX('CBA Inputs'!$E26-'CBA Inputs'!$E26/'CBA Inputs'!$I26*(AI$34-'CBA Inputs'!$H26+1),0),0)*IF(AI$34=FirstYear+AnalysisPeriod-1,1,0),0)*CapitalCost_ACTIVE*AI$31*IF(Scenario_Select='CBA Inputs'!$J26,1,0)</f>
        <v>0</v>
      </c>
      <c r="AJ64" s="17">
        <f>IFERROR(IF(AJ$34&gt;='CBA Inputs'!$H26,MAX('CBA Inputs'!$E26-'CBA Inputs'!$E26/'CBA Inputs'!$I26*(AJ$34-'CBA Inputs'!$H26+1),0),0)*IF(AJ$34=FirstYear+AnalysisPeriod-1,1,0),0)*CapitalCost_ACTIVE*AJ$31*IF(Scenario_Select='CBA Inputs'!$J26,1,0)</f>
        <v>0</v>
      </c>
      <c r="AN64" s="28"/>
      <c r="AO64" s="28"/>
    </row>
    <row r="65" spans="2:41" hidden="1" x14ac:dyDescent="0.35">
      <c r="B65" s="9" t="str">
        <f t="shared" si="34"/>
        <v/>
      </c>
      <c r="C65" s="25">
        <f t="shared" si="34"/>
        <v>0</v>
      </c>
      <c r="D65" s="25">
        <f t="shared" si="34"/>
        <v>0</v>
      </c>
      <c r="E65" s="12" t="s">
        <v>35</v>
      </c>
      <c r="F65" s="18">
        <f t="shared" si="35"/>
        <v>0</v>
      </c>
      <c r="G65" s="17">
        <f>IFERROR(IF(G$34&gt;='CBA Inputs'!$H27,MAX('CBA Inputs'!$E27-'CBA Inputs'!$E27/'CBA Inputs'!$I27*(G$34-'CBA Inputs'!$H27+1),0),0)*IF(G$34=FirstYear+AnalysisPeriod-1,1,0),0)*CapitalCost_ACTIVE*G$31*IF(Scenario_Select='CBA Inputs'!$J27,1,0)</f>
        <v>0</v>
      </c>
      <c r="H65" s="17">
        <f>IFERROR(IF(H$34&gt;='CBA Inputs'!$H27,MAX('CBA Inputs'!$E27-'CBA Inputs'!$E27/'CBA Inputs'!$I27*(H$34-'CBA Inputs'!$H27+1),0),0)*IF(H$34=FirstYear+AnalysisPeriod-1,1,0),0)*CapitalCost_ACTIVE*H$31*IF(Scenario_Select='CBA Inputs'!$J27,1,0)</f>
        <v>0</v>
      </c>
      <c r="I65" s="17">
        <f>IFERROR(IF(I$34&gt;='CBA Inputs'!$H27,MAX('CBA Inputs'!$E27-'CBA Inputs'!$E27/'CBA Inputs'!$I27*(I$34-'CBA Inputs'!$H27+1),0),0)*IF(I$34=FirstYear+AnalysisPeriod-1,1,0),0)*CapitalCost_ACTIVE*I$31*IF(Scenario_Select='CBA Inputs'!$J27,1,0)</f>
        <v>0</v>
      </c>
      <c r="J65" s="17">
        <f>IFERROR(IF(J$34&gt;='CBA Inputs'!$H27,MAX('CBA Inputs'!$E27-'CBA Inputs'!$E27/'CBA Inputs'!$I27*(J$34-'CBA Inputs'!$H27+1),0),0)*IF(J$34=FirstYear+AnalysisPeriod-1,1,0),0)*CapitalCost_ACTIVE*J$31*IF(Scenario_Select='CBA Inputs'!$J27,1,0)</f>
        <v>0</v>
      </c>
      <c r="K65" s="17">
        <f>IFERROR(IF(K$34&gt;='CBA Inputs'!$H27,MAX('CBA Inputs'!$E27-'CBA Inputs'!$E27/'CBA Inputs'!$I27*(K$34-'CBA Inputs'!$H27+1),0),0)*IF(K$34=FirstYear+AnalysisPeriod-1,1,0),0)*CapitalCost_ACTIVE*K$31*IF(Scenario_Select='CBA Inputs'!$J27,1,0)</f>
        <v>0</v>
      </c>
      <c r="L65" s="17">
        <f>IFERROR(IF(L$34&gt;='CBA Inputs'!$H27,MAX('CBA Inputs'!$E27-'CBA Inputs'!$E27/'CBA Inputs'!$I27*(L$34-'CBA Inputs'!$H27+1),0),0)*IF(L$34=FirstYear+AnalysisPeriod-1,1,0),0)*CapitalCost_ACTIVE*L$31*IF(Scenario_Select='CBA Inputs'!$J27,1,0)</f>
        <v>0</v>
      </c>
      <c r="M65" s="17">
        <f>IFERROR(IF(M$34&gt;='CBA Inputs'!$H27,MAX('CBA Inputs'!$E27-'CBA Inputs'!$E27/'CBA Inputs'!$I27*(M$34-'CBA Inputs'!$H27+1),0),0)*IF(M$34=FirstYear+AnalysisPeriod-1,1,0),0)*CapitalCost_ACTIVE*M$31*IF(Scenario_Select='CBA Inputs'!$J27,1,0)</f>
        <v>0</v>
      </c>
      <c r="N65" s="17">
        <f>IFERROR(IF(N$34&gt;='CBA Inputs'!$H27,MAX('CBA Inputs'!$E27-'CBA Inputs'!$E27/'CBA Inputs'!$I27*(N$34-'CBA Inputs'!$H27+1),0),0)*IF(N$34=FirstYear+AnalysisPeriod-1,1,0),0)*CapitalCost_ACTIVE*N$31*IF(Scenario_Select='CBA Inputs'!$J27,1,0)</f>
        <v>0</v>
      </c>
      <c r="O65" s="17">
        <f>IFERROR(IF(O$34&gt;='CBA Inputs'!$H27,MAX('CBA Inputs'!$E27-'CBA Inputs'!$E27/'CBA Inputs'!$I27*(O$34-'CBA Inputs'!$H27+1),0),0)*IF(O$34=FirstYear+AnalysisPeriod-1,1,0),0)*CapitalCost_ACTIVE*O$31*IF(Scenario_Select='CBA Inputs'!$J27,1,0)</f>
        <v>0</v>
      </c>
      <c r="P65" s="17">
        <f>IFERROR(IF(P$34&gt;='CBA Inputs'!$H27,MAX('CBA Inputs'!$E27-'CBA Inputs'!$E27/'CBA Inputs'!$I27*(P$34-'CBA Inputs'!$H27+1),0),0)*IF(P$34=FirstYear+AnalysisPeriod-1,1,0),0)*CapitalCost_ACTIVE*P$31*IF(Scenario_Select='CBA Inputs'!$J27,1,0)</f>
        <v>0</v>
      </c>
      <c r="Q65" s="17">
        <f>IFERROR(IF(Q$34&gt;='CBA Inputs'!$H27,MAX('CBA Inputs'!$E27-'CBA Inputs'!$E27/'CBA Inputs'!$I27*(Q$34-'CBA Inputs'!$H27+1),0),0)*IF(Q$34=FirstYear+AnalysisPeriod-1,1,0),0)*CapitalCost_ACTIVE*Q$31*IF(Scenario_Select='CBA Inputs'!$J27,1,0)</f>
        <v>0</v>
      </c>
      <c r="R65" s="17">
        <f>IFERROR(IF(R$34&gt;='CBA Inputs'!$H27,MAX('CBA Inputs'!$E27-'CBA Inputs'!$E27/'CBA Inputs'!$I27*(R$34-'CBA Inputs'!$H27+1),0),0)*IF(R$34=FirstYear+AnalysisPeriod-1,1,0),0)*CapitalCost_ACTIVE*R$31*IF(Scenario_Select='CBA Inputs'!$J27,1,0)</f>
        <v>0</v>
      </c>
      <c r="S65" s="17">
        <f>IFERROR(IF(S$34&gt;='CBA Inputs'!$H27,MAX('CBA Inputs'!$E27-'CBA Inputs'!$E27/'CBA Inputs'!$I27*(S$34-'CBA Inputs'!$H27+1),0),0)*IF(S$34=FirstYear+AnalysisPeriod-1,1,0),0)*CapitalCost_ACTIVE*S$31*IF(Scenario_Select='CBA Inputs'!$J27,1,0)</f>
        <v>0</v>
      </c>
      <c r="T65" s="17">
        <f>IFERROR(IF(T$34&gt;='CBA Inputs'!$H27,MAX('CBA Inputs'!$E27-'CBA Inputs'!$E27/'CBA Inputs'!$I27*(T$34-'CBA Inputs'!$H27+1),0),0)*IF(T$34=FirstYear+AnalysisPeriod-1,1,0),0)*CapitalCost_ACTIVE*T$31*IF(Scenario_Select='CBA Inputs'!$J27,1,0)</f>
        <v>0</v>
      </c>
      <c r="U65" s="17">
        <f>IFERROR(IF(U$34&gt;='CBA Inputs'!$H27,MAX('CBA Inputs'!$E27-'CBA Inputs'!$E27/'CBA Inputs'!$I27*(U$34-'CBA Inputs'!$H27+1),0),0)*IF(U$34=FirstYear+AnalysisPeriod-1,1,0),0)*CapitalCost_ACTIVE*U$31*IF(Scenario_Select='CBA Inputs'!$J27,1,0)</f>
        <v>0</v>
      </c>
      <c r="V65" s="17">
        <f>IFERROR(IF(V$34&gt;='CBA Inputs'!$H27,MAX('CBA Inputs'!$E27-'CBA Inputs'!$E27/'CBA Inputs'!$I27*(V$34-'CBA Inputs'!$H27+1),0),0)*IF(V$34=FirstYear+AnalysisPeriod-1,1,0),0)*CapitalCost_ACTIVE*V$31*IF(Scenario_Select='CBA Inputs'!$J27,1,0)</f>
        <v>0</v>
      </c>
      <c r="W65" s="17">
        <f>IFERROR(IF(W$34&gt;='CBA Inputs'!$H27,MAX('CBA Inputs'!$E27-'CBA Inputs'!$E27/'CBA Inputs'!$I27*(W$34-'CBA Inputs'!$H27+1),0),0)*IF(W$34=FirstYear+AnalysisPeriod-1,1,0),0)*CapitalCost_ACTIVE*W$31*IF(Scenario_Select='CBA Inputs'!$J27,1,0)</f>
        <v>0</v>
      </c>
      <c r="X65" s="17">
        <f>IFERROR(IF(X$34&gt;='CBA Inputs'!$H27,MAX('CBA Inputs'!$E27-'CBA Inputs'!$E27/'CBA Inputs'!$I27*(X$34-'CBA Inputs'!$H27+1),0),0)*IF(X$34=FirstYear+AnalysisPeriod-1,1,0),0)*CapitalCost_ACTIVE*X$31*IF(Scenario_Select='CBA Inputs'!$J27,1,0)</f>
        <v>0</v>
      </c>
      <c r="Y65" s="17">
        <f>IFERROR(IF(Y$34&gt;='CBA Inputs'!$H27,MAX('CBA Inputs'!$E27-'CBA Inputs'!$E27/'CBA Inputs'!$I27*(Y$34-'CBA Inputs'!$H27+1),0),0)*IF(Y$34=FirstYear+AnalysisPeriod-1,1,0),0)*CapitalCost_ACTIVE*Y$31*IF(Scenario_Select='CBA Inputs'!$J27,1,0)</f>
        <v>0</v>
      </c>
      <c r="Z65" s="17">
        <f>IFERROR(IF(Z$34&gt;='CBA Inputs'!$H27,MAX('CBA Inputs'!$E27-'CBA Inputs'!$E27/'CBA Inputs'!$I27*(Z$34-'CBA Inputs'!$H27+1),0),0)*IF(Z$34=FirstYear+AnalysisPeriod-1,1,0),0)*CapitalCost_ACTIVE*Z$31*IF(Scenario_Select='CBA Inputs'!$J27,1,0)</f>
        <v>0</v>
      </c>
      <c r="AA65" s="17">
        <f>IFERROR(IF(AA$34&gt;='CBA Inputs'!$H27,MAX('CBA Inputs'!$E27-'CBA Inputs'!$E27/'CBA Inputs'!$I27*(AA$34-'CBA Inputs'!$H27+1),0),0)*IF(AA$34=FirstYear+AnalysisPeriod-1,1,0),0)*CapitalCost_ACTIVE*AA$31*IF(Scenario_Select='CBA Inputs'!$J27,1,0)</f>
        <v>0</v>
      </c>
      <c r="AB65" s="17">
        <f>IFERROR(IF(AB$34&gt;='CBA Inputs'!$H27,MAX('CBA Inputs'!$E27-'CBA Inputs'!$E27/'CBA Inputs'!$I27*(AB$34-'CBA Inputs'!$H27+1),0),0)*IF(AB$34=FirstYear+AnalysisPeriod-1,1,0),0)*CapitalCost_ACTIVE*AB$31*IF(Scenario_Select='CBA Inputs'!$J27,1,0)</f>
        <v>0</v>
      </c>
      <c r="AC65" s="17">
        <f>IFERROR(IF(AC$34&gt;='CBA Inputs'!$H27,MAX('CBA Inputs'!$E27-'CBA Inputs'!$E27/'CBA Inputs'!$I27*(AC$34-'CBA Inputs'!$H27+1),0),0)*IF(AC$34=FirstYear+AnalysisPeriod-1,1,0),0)*CapitalCost_ACTIVE*AC$31*IF(Scenario_Select='CBA Inputs'!$J27,1,0)</f>
        <v>0</v>
      </c>
      <c r="AD65" s="17">
        <f>IFERROR(IF(AD$34&gt;='CBA Inputs'!$H27,MAX('CBA Inputs'!$E27-'CBA Inputs'!$E27/'CBA Inputs'!$I27*(AD$34-'CBA Inputs'!$H27+1),0),0)*IF(AD$34=FirstYear+AnalysisPeriod-1,1,0),0)*CapitalCost_ACTIVE*AD$31*IF(Scenario_Select='CBA Inputs'!$J27,1,0)</f>
        <v>0</v>
      </c>
      <c r="AE65" s="17">
        <f>IFERROR(IF(AE$34&gt;='CBA Inputs'!$H27,MAX('CBA Inputs'!$E27-'CBA Inputs'!$E27/'CBA Inputs'!$I27*(AE$34-'CBA Inputs'!$H27+1),0),0)*IF(AE$34=FirstYear+AnalysisPeriod-1,1,0),0)*CapitalCost_ACTIVE*AE$31*IF(Scenario_Select='CBA Inputs'!$J27,1,0)</f>
        <v>0</v>
      </c>
      <c r="AF65" s="17">
        <f>IFERROR(IF(AF$34&gt;='CBA Inputs'!$H27,MAX('CBA Inputs'!$E27-'CBA Inputs'!$E27/'CBA Inputs'!$I27*(AF$34-'CBA Inputs'!$H27+1),0),0)*IF(AF$34=FirstYear+AnalysisPeriod-1,1,0),0)*CapitalCost_ACTIVE*AF$31*IF(Scenario_Select='CBA Inputs'!$J27,1,0)</f>
        <v>0</v>
      </c>
      <c r="AG65" s="17">
        <f>IFERROR(IF(AG$34&gt;='CBA Inputs'!$H27,MAX('CBA Inputs'!$E27-'CBA Inputs'!$E27/'CBA Inputs'!$I27*(AG$34-'CBA Inputs'!$H27+1),0),0)*IF(AG$34=FirstYear+AnalysisPeriod-1,1,0),0)*CapitalCost_ACTIVE*AG$31*IF(Scenario_Select='CBA Inputs'!$J27,1,0)</f>
        <v>0</v>
      </c>
      <c r="AH65" s="17">
        <f>IFERROR(IF(AH$34&gt;='CBA Inputs'!$H27,MAX('CBA Inputs'!$E27-'CBA Inputs'!$E27/'CBA Inputs'!$I27*(AH$34-'CBA Inputs'!$H27+1),0),0)*IF(AH$34=FirstYear+AnalysisPeriod-1,1,0),0)*CapitalCost_ACTIVE*AH$31*IF(Scenario_Select='CBA Inputs'!$J27,1,0)</f>
        <v>0</v>
      </c>
      <c r="AI65" s="17">
        <f>IFERROR(IF(AI$34&gt;='CBA Inputs'!$H27,MAX('CBA Inputs'!$E27-'CBA Inputs'!$E27/'CBA Inputs'!$I27*(AI$34-'CBA Inputs'!$H27+1),0),0)*IF(AI$34=FirstYear+AnalysisPeriod-1,1,0),0)*CapitalCost_ACTIVE*AI$31*IF(Scenario_Select='CBA Inputs'!$J27,1,0)</f>
        <v>0</v>
      </c>
      <c r="AJ65" s="17">
        <f>IFERROR(IF(AJ$34&gt;='CBA Inputs'!$H27,MAX('CBA Inputs'!$E27-'CBA Inputs'!$E27/'CBA Inputs'!$I27*(AJ$34-'CBA Inputs'!$H27+1),0),0)*IF(AJ$34=FirstYear+AnalysisPeriod-1,1,0),0)*CapitalCost_ACTIVE*AJ$31*IF(Scenario_Select='CBA Inputs'!$J27,1,0)</f>
        <v>0</v>
      </c>
      <c r="AN65" s="28"/>
      <c r="AO65" s="28"/>
    </row>
    <row r="66" spans="2:41" hidden="1" x14ac:dyDescent="0.35">
      <c r="B66" s="9" t="str">
        <f t="shared" si="34"/>
        <v/>
      </c>
      <c r="C66" s="25">
        <f t="shared" si="34"/>
        <v>0</v>
      </c>
      <c r="D66" s="25">
        <f t="shared" si="34"/>
        <v>0</v>
      </c>
      <c r="E66" s="12" t="s">
        <v>35</v>
      </c>
      <c r="F66" s="18">
        <f t="shared" si="35"/>
        <v>0</v>
      </c>
      <c r="G66" s="17">
        <f>IFERROR(IF(G$34&gt;='CBA Inputs'!$H28,MAX('CBA Inputs'!$E28-'CBA Inputs'!$E28/'CBA Inputs'!$I28*(G$34-'CBA Inputs'!$H28+1),0),0)*IF(G$34=FirstYear+AnalysisPeriod-1,1,0),0)*CapitalCost_ACTIVE*G$31*IF(Scenario_Select='CBA Inputs'!$J28,1,0)</f>
        <v>0</v>
      </c>
      <c r="H66" s="17">
        <f>IFERROR(IF(H$34&gt;='CBA Inputs'!$H28,MAX('CBA Inputs'!$E28-'CBA Inputs'!$E28/'CBA Inputs'!$I28*(H$34-'CBA Inputs'!$H28+1),0),0)*IF(H$34=FirstYear+AnalysisPeriod-1,1,0),0)*CapitalCost_ACTIVE*H$31*IF(Scenario_Select='CBA Inputs'!$J28,1,0)</f>
        <v>0</v>
      </c>
      <c r="I66" s="17">
        <f>IFERROR(IF(I$34&gt;='CBA Inputs'!$H28,MAX('CBA Inputs'!$E28-'CBA Inputs'!$E28/'CBA Inputs'!$I28*(I$34-'CBA Inputs'!$H28+1),0),0)*IF(I$34=FirstYear+AnalysisPeriod-1,1,0),0)*CapitalCost_ACTIVE*I$31*IF(Scenario_Select='CBA Inputs'!$J28,1,0)</f>
        <v>0</v>
      </c>
      <c r="J66" s="17">
        <f>IFERROR(IF(J$34&gt;='CBA Inputs'!$H28,MAX('CBA Inputs'!$E28-'CBA Inputs'!$E28/'CBA Inputs'!$I28*(J$34-'CBA Inputs'!$H28+1),0),0)*IF(J$34=FirstYear+AnalysisPeriod-1,1,0),0)*CapitalCost_ACTIVE*J$31*IF(Scenario_Select='CBA Inputs'!$J28,1,0)</f>
        <v>0</v>
      </c>
      <c r="K66" s="17">
        <f>IFERROR(IF(K$34&gt;='CBA Inputs'!$H28,MAX('CBA Inputs'!$E28-'CBA Inputs'!$E28/'CBA Inputs'!$I28*(K$34-'CBA Inputs'!$H28+1),0),0)*IF(K$34=FirstYear+AnalysisPeriod-1,1,0),0)*CapitalCost_ACTIVE*K$31*IF(Scenario_Select='CBA Inputs'!$J28,1,0)</f>
        <v>0</v>
      </c>
      <c r="L66" s="17">
        <f>IFERROR(IF(L$34&gt;='CBA Inputs'!$H28,MAX('CBA Inputs'!$E28-'CBA Inputs'!$E28/'CBA Inputs'!$I28*(L$34-'CBA Inputs'!$H28+1),0),0)*IF(L$34=FirstYear+AnalysisPeriod-1,1,0),0)*CapitalCost_ACTIVE*L$31*IF(Scenario_Select='CBA Inputs'!$J28,1,0)</f>
        <v>0</v>
      </c>
      <c r="M66" s="17">
        <f>IFERROR(IF(M$34&gt;='CBA Inputs'!$H28,MAX('CBA Inputs'!$E28-'CBA Inputs'!$E28/'CBA Inputs'!$I28*(M$34-'CBA Inputs'!$H28+1),0),0)*IF(M$34=FirstYear+AnalysisPeriod-1,1,0),0)*CapitalCost_ACTIVE*M$31*IF(Scenario_Select='CBA Inputs'!$J28,1,0)</f>
        <v>0</v>
      </c>
      <c r="N66" s="17">
        <f>IFERROR(IF(N$34&gt;='CBA Inputs'!$H28,MAX('CBA Inputs'!$E28-'CBA Inputs'!$E28/'CBA Inputs'!$I28*(N$34-'CBA Inputs'!$H28+1),0),0)*IF(N$34=FirstYear+AnalysisPeriod-1,1,0),0)*CapitalCost_ACTIVE*N$31*IF(Scenario_Select='CBA Inputs'!$J28,1,0)</f>
        <v>0</v>
      </c>
      <c r="O66" s="17">
        <f>IFERROR(IF(O$34&gt;='CBA Inputs'!$H28,MAX('CBA Inputs'!$E28-'CBA Inputs'!$E28/'CBA Inputs'!$I28*(O$34-'CBA Inputs'!$H28+1),0),0)*IF(O$34=FirstYear+AnalysisPeriod-1,1,0),0)*CapitalCost_ACTIVE*O$31*IF(Scenario_Select='CBA Inputs'!$J28,1,0)</f>
        <v>0</v>
      </c>
      <c r="P66" s="17">
        <f>IFERROR(IF(P$34&gt;='CBA Inputs'!$H28,MAX('CBA Inputs'!$E28-'CBA Inputs'!$E28/'CBA Inputs'!$I28*(P$34-'CBA Inputs'!$H28+1),0),0)*IF(P$34=FirstYear+AnalysisPeriod-1,1,0),0)*CapitalCost_ACTIVE*P$31*IF(Scenario_Select='CBA Inputs'!$J28,1,0)</f>
        <v>0</v>
      </c>
      <c r="Q66" s="17">
        <f>IFERROR(IF(Q$34&gt;='CBA Inputs'!$H28,MAX('CBA Inputs'!$E28-'CBA Inputs'!$E28/'CBA Inputs'!$I28*(Q$34-'CBA Inputs'!$H28+1),0),0)*IF(Q$34=FirstYear+AnalysisPeriod-1,1,0),0)*CapitalCost_ACTIVE*Q$31*IF(Scenario_Select='CBA Inputs'!$J28,1,0)</f>
        <v>0</v>
      </c>
      <c r="R66" s="17">
        <f>IFERROR(IF(R$34&gt;='CBA Inputs'!$H28,MAX('CBA Inputs'!$E28-'CBA Inputs'!$E28/'CBA Inputs'!$I28*(R$34-'CBA Inputs'!$H28+1),0),0)*IF(R$34=FirstYear+AnalysisPeriod-1,1,0),0)*CapitalCost_ACTIVE*R$31*IF(Scenario_Select='CBA Inputs'!$J28,1,0)</f>
        <v>0</v>
      </c>
      <c r="S66" s="17">
        <f>IFERROR(IF(S$34&gt;='CBA Inputs'!$H28,MAX('CBA Inputs'!$E28-'CBA Inputs'!$E28/'CBA Inputs'!$I28*(S$34-'CBA Inputs'!$H28+1),0),0)*IF(S$34=FirstYear+AnalysisPeriod-1,1,0),0)*CapitalCost_ACTIVE*S$31*IF(Scenario_Select='CBA Inputs'!$J28,1,0)</f>
        <v>0</v>
      </c>
      <c r="T66" s="17">
        <f>IFERROR(IF(T$34&gt;='CBA Inputs'!$H28,MAX('CBA Inputs'!$E28-'CBA Inputs'!$E28/'CBA Inputs'!$I28*(T$34-'CBA Inputs'!$H28+1),0),0)*IF(T$34=FirstYear+AnalysisPeriod-1,1,0),0)*CapitalCost_ACTIVE*T$31*IF(Scenario_Select='CBA Inputs'!$J28,1,0)</f>
        <v>0</v>
      </c>
      <c r="U66" s="17">
        <f>IFERROR(IF(U$34&gt;='CBA Inputs'!$H28,MAX('CBA Inputs'!$E28-'CBA Inputs'!$E28/'CBA Inputs'!$I28*(U$34-'CBA Inputs'!$H28+1),0),0)*IF(U$34=FirstYear+AnalysisPeriod-1,1,0),0)*CapitalCost_ACTIVE*U$31*IF(Scenario_Select='CBA Inputs'!$J28,1,0)</f>
        <v>0</v>
      </c>
      <c r="V66" s="17">
        <f>IFERROR(IF(V$34&gt;='CBA Inputs'!$H28,MAX('CBA Inputs'!$E28-'CBA Inputs'!$E28/'CBA Inputs'!$I28*(V$34-'CBA Inputs'!$H28+1),0),0)*IF(V$34=FirstYear+AnalysisPeriod-1,1,0),0)*CapitalCost_ACTIVE*V$31*IF(Scenario_Select='CBA Inputs'!$J28,1,0)</f>
        <v>0</v>
      </c>
      <c r="W66" s="17">
        <f>IFERROR(IF(W$34&gt;='CBA Inputs'!$H28,MAX('CBA Inputs'!$E28-'CBA Inputs'!$E28/'CBA Inputs'!$I28*(W$34-'CBA Inputs'!$H28+1),0),0)*IF(W$34=FirstYear+AnalysisPeriod-1,1,0),0)*CapitalCost_ACTIVE*W$31*IF(Scenario_Select='CBA Inputs'!$J28,1,0)</f>
        <v>0</v>
      </c>
      <c r="X66" s="17">
        <f>IFERROR(IF(X$34&gt;='CBA Inputs'!$H28,MAX('CBA Inputs'!$E28-'CBA Inputs'!$E28/'CBA Inputs'!$I28*(X$34-'CBA Inputs'!$H28+1),0),0)*IF(X$34=FirstYear+AnalysisPeriod-1,1,0),0)*CapitalCost_ACTIVE*X$31*IF(Scenario_Select='CBA Inputs'!$J28,1,0)</f>
        <v>0</v>
      </c>
      <c r="Y66" s="17">
        <f>IFERROR(IF(Y$34&gt;='CBA Inputs'!$H28,MAX('CBA Inputs'!$E28-'CBA Inputs'!$E28/'CBA Inputs'!$I28*(Y$34-'CBA Inputs'!$H28+1),0),0)*IF(Y$34=FirstYear+AnalysisPeriod-1,1,0),0)*CapitalCost_ACTIVE*Y$31*IF(Scenario_Select='CBA Inputs'!$J28,1,0)</f>
        <v>0</v>
      </c>
      <c r="Z66" s="17">
        <f>IFERROR(IF(Z$34&gt;='CBA Inputs'!$H28,MAX('CBA Inputs'!$E28-'CBA Inputs'!$E28/'CBA Inputs'!$I28*(Z$34-'CBA Inputs'!$H28+1),0),0)*IF(Z$34=FirstYear+AnalysisPeriod-1,1,0),0)*CapitalCost_ACTIVE*Z$31*IF(Scenario_Select='CBA Inputs'!$J28,1,0)</f>
        <v>0</v>
      </c>
      <c r="AA66" s="17">
        <f>IFERROR(IF(AA$34&gt;='CBA Inputs'!$H28,MAX('CBA Inputs'!$E28-'CBA Inputs'!$E28/'CBA Inputs'!$I28*(AA$34-'CBA Inputs'!$H28+1),0),0)*IF(AA$34=FirstYear+AnalysisPeriod-1,1,0),0)*CapitalCost_ACTIVE*AA$31*IF(Scenario_Select='CBA Inputs'!$J28,1,0)</f>
        <v>0</v>
      </c>
      <c r="AB66" s="17">
        <f>IFERROR(IF(AB$34&gt;='CBA Inputs'!$H28,MAX('CBA Inputs'!$E28-'CBA Inputs'!$E28/'CBA Inputs'!$I28*(AB$34-'CBA Inputs'!$H28+1),0),0)*IF(AB$34=FirstYear+AnalysisPeriod-1,1,0),0)*CapitalCost_ACTIVE*AB$31*IF(Scenario_Select='CBA Inputs'!$J28,1,0)</f>
        <v>0</v>
      </c>
      <c r="AC66" s="17">
        <f>IFERROR(IF(AC$34&gt;='CBA Inputs'!$H28,MAX('CBA Inputs'!$E28-'CBA Inputs'!$E28/'CBA Inputs'!$I28*(AC$34-'CBA Inputs'!$H28+1),0),0)*IF(AC$34=FirstYear+AnalysisPeriod-1,1,0),0)*CapitalCost_ACTIVE*AC$31*IF(Scenario_Select='CBA Inputs'!$J28,1,0)</f>
        <v>0</v>
      </c>
      <c r="AD66" s="17">
        <f>IFERROR(IF(AD$34&gt;='CBA Inputs'!$H28,MAX('CBA Inputs'!$E28-'CBA Inputs'!$E28/'CBA Inputs'!$I28*(AD$34-'CBA Inputs'!$H28+1),0),0)*IF(AD$34=FirstYear+AnalysisPeriod-1,1,0),0)*CapitalCost_ACTIVE*AD$31*IF(Scenario_Select='CBA Inputs'!$J28,1,0)</f>
        <v>0</v>
      </c>
      <c r="AE66" s="17">
        <f>IFERROR(IF(AE$34&gt;='CBA Inputs'!$H28,MAX('CBA Inputs'!$E28-'CBA Inputs'!$E28/'CBA Inputs'!$I28*(AE$34-'CBA Inputs'!$H28+1),0),0)*IF(AE$34=FirstYear+AnalysisPeriod-1,1,0),0)*CapitalCost_ACTIVE*AE$31*IF(Scenario_Select='CBA Inputs'!$J28,1,0)</f>
        <v>0</v>
      </c>
      <c r="AF66" s="17">
        <f>IFERROR(IF(AF$34&gt;='CBA Inputs'!$H28,MAX('CBA Inputs'!$E28-'CBA Inputs'!$E28/'CBA Inputs'!$I28*(AF$34-'CBA Inputs'!$H28+1),0),0)*IF(AF$34=FirstYear+AnalysisPeriod-1,1,0),0)*CapitalCost_ACTIVE*AF$31*IF(Scenario_Select='CBA Inputs'!$J28,1,0)</f>
        <v>0</v>
      </c>
      <c r="AG66" s="17">
        <f>IFERROR(IF(AG$34&gt;='CBA Inputs'!$H28,MAX('CBA Inputs'!$E28-'CBA Inputs'!$E28/'CBA Inputs'!$I28*(AG$34-'CBA Inputs'!$H28+1),0),0)*IF(AG$34=FirstYear+AnalysisPeriod-1,1,0),0)*CapitalCost_ACTIVE*AG$31*IF(Scenario_Select='CBA Inputs'!$J28,1,0)</f>
        <v>0</v>
      </c>
      <c r="AH66" s="17">
        <f>IFERROR(IF(AH$34&gt;='CBA Inputs'!$H28,MAX('CBA Inputs'!$E28-'CBA Inputs'!$E28/'CBA Inputs'!$I28*(AH$34-'CBA Inputs'!$H28+1),0),0)*IF(AH$34=FirstYear+AnalysisPeriod-1,1,0),0)*CapitalCost_ACTIVE*AH$31*IF(Scenario_Select='CBA Inputs'!$J28,1,0)</f>
        <v>0</v>
      </c>
      <c r="AI66" s="17">
        <f>IFERROR(IF(AI$34&gt;='CBA Inputs'!$H28,MAX('CBA Inputs'!$E28-'CBA Inputs'!$E28/'CBA Inputs'!$I28*(AI$34-'CBA Inputs'!$H28+1),0),0)*IF(AI$34=FirstYear+AnalysisPeriod-1,1,0),0)*CapitalCost_ACTIVE*AI$31*IF(Scenario_Select='CBA Inputs'!$J28,1,0)</f>
        <v>0</v>
      </c>
      <c r="AJ66" s="17">
        <f>IFERROR(IF(AJ$34&gt;='CBA Inputs'!$H28,MAX('CBA Inputs'!$E28-'CBA Inputs'!$E28/'CBA Inputs'!$I28*(AJ$34-'CBA Inputs'!$H28+1),0),0)*IF(AJ$34=FirstYear+AnalysisPeriod-1,1,0),0)*CapitalCost_ACTIVE*AJ$31*IF(Scenario_Select='CBA Inputs'!$J28,1,0)</f>
        <v>0</v>
      </c>
      <c r="AN66" s="28"/>
      <c r="AO66" s="28"/>
    </row>
    <row r="67" spans="2:41" hidden="1" x14ac:dyDescent="0.35">
      <c r="B67" s="9" t="str">
        <f t="shared" si="34"/>
        <v/>
      </c>
      <c r="C67" s="25">
        <f t="shared" si="34"/>
        <v>0</v>
      </c>
      <c r="D67" s="25">
        <f t="shared" si="34"/>
        <v>0</v>
      </c>
      <c r="E67" s="12" t="s">
        <v>35</v>
      </c>
      <c r="F67" s="18">
        <f t="shared" si="35"/>
        <v>0</v>
      </c>
      <c r="G67" s="17">
        <f>IFERROR(IF(G$34&gt;='CBA Inputs'!$H29,MAX('CBA Inputs'!$E29-'CBA Inputs'!$E29/'CBA Inputs'!$I29*(G$34-'CBA Inputs'!$H29+1),0),0)*IF(G$34=FirstYear+AnalysisPeriod-1,1,0),0)*CapitalCost_ACTIVE*G$31*IF(Scenario_Select='CBA Inputs'!$J29,1,0)</f>
        <v>0</v>
      </c>
      <c r="H67" s="17">
        <f>IFERROR(IF(H$34&gt;='CBA Inputs'!$H29,MAX('CBA Inputs'!$E29-'CBA Inputs'!$E29/'CBA Inputs'!$I29*(H$34-'CBA Inputs'!$H29+1),0),0)*IF(H$34=FirstYear+AnalysisPeriod-1,1,0),0)*CapitalCost_ACTIVE*H$31*IF(Scenario_Select='CBA Inputs'!$J29,1,0)</f>
        <v>0</v>
      </c>
      <c r="I67" s="17">
        <f>IFERROR(IF(I$34&gt;='CBA Inputs'!$H29,MAX('CBA Inputs'!$E29-'CBA Inputs'!$E29/'CBA Inputs'!$I29*(I$34-'CBA Inputs'!$H29+1),0),0)*IF(I$34=FirstYear+AnalysisPeriod-1,1,0),0)*CapitalCost_ACTIVE*I$31*IF(Scenario_Select='CBA Inputs'!$J29,1,0)</f>
        <v>0</v>
      </c>
      <c r="J67" s="17">
        <f>IFERROR(IF(J$34&gt;='CBA Inputs'!$H29,MAX('CBA Inputs'!$E29-'CBA Inputs'!$E29/'CBA Inputs'!$I29*(J$34-'CBA Inputs'!$H29+1),0),0)*IF(J$34=FirstYear+AnalysisPeriod-1,1,0),0)*CapitalCost_ACTIVE*J$31*IF(Scenario_Select='CBA Inputs'!$J29,1,0)</f>
        <v>0</v>
      </c>
      <c r="K67" s="17">
        <f>IFERROR(IF(K$34&gt;='CBA Inputs'!$H29,MAX('CBA Inputs'!$E29-'CBA Inputs'!$E29/'CBA Inputs'!$I29*(K$34-'CBA Inputs'!$H29+1),0),0)*IF(K$34=FirstYear+AnalysisPeriod-1,1,0),0)*CapitalCost_ACTIVE*K$31*IF(Scenario_Select='CBA Inputs'!$J29,1,0)</f>
        <v>0</v>
      </c>
      <c r="L67" s="17">
        <f>IFERROR(IF(L$34&gt;='CBA Inputs'!$H29,MAX('CBA Inputs'!$E29-'CBA Inputs'!$E29/'CBA Inputs'!$I29*(L$34-'CBA Inputs'!$H29+1),0),0)*IF(L$34=FirstYear+AnalysisPeriod-1,1,0),0)*CapitalCost_ACTIVE*L$31*IF(Scenario_Select='CBA Inputs'!$J29,1,0)</f>
        <v>0</v>
      </c>
      <c r="M67" s="17">
        <f>IFERROR(IF(M$34&gt;='CBA Inputs'!$H29,MAX('CBA Inputs'!$E29-'CBA Inputs'!$E29/'CBA Inputs'!$I29*(M$34-'CBA Inputs'!$H29+1),0),0)*IF(M$34=FirstYear+AnalysisPeriod-1,1,0),0)*CapitalCost_ACTIVE*M$31*IF(Scenario_Select='CBA Inputs'!$J29,1,0)</f>
        <v>0</v>
      </c>
      <c r="N67" s="17">
        <f>IFERROR(IF(N$34&gt;='CBA Inputs'!$H29,MAX('CBA Inputs'!$E29-'CBA Inputs'!$E29/'CBA Inputs'!$I29*(N$34-'CBA Inputs'!$H29+1),0),0)*IF(N$34=FirstYear+AnalysisPeriod-1,1,0),0)*CapitalCost_ACTIVE*N$31*IF(Scenario_Select='CBA Inputs'!$J29,1,0)</f>
        <v>0</v>
      </c>
      <c r="O67" s="17">
        <f>IFERROR(IF(O$34&gt;='CBA Inputs'!$H29,MAX('CBA Inputs'!$E29-'CBA Inputs'!$E29/'CBA Inputs'!$I29*(O$34-'CBA Inputs'!$H29+1),0),0)*IF(O$34=FirstYear+AnalysisPeriod-1,1,0),0)*CapitalCost_ACTIVE*O$31*IF(Scenario_Select='CBA Inputs'!$J29,1,0)</f>
        <v>0</v>
      </c>
      <c r="P67" s="17">
        <f>IFERROR(IF(P$34&gt;='CBA Inputs'!$H29,MAX('CBA Inputs'!$E29-'CBA Inputs'!$E29/'CBA Inputs'!$I29*(P$34-'CBA Inputs'!$H29+1),0),0)*IF(P$34=FirstYear+AnalysisPeriod-1,1,0),0)*CapitalCost_ACTIVE*P$31*IF(Scenario_Select='CBA Inputs'!$J29,1,0)</f>
        <v>0</v>
      </c>
      <c r="Q67" s="17">
        <f>IFERROR(IF(Q$34&gt;='CBA Inputs'!$H29,MAX('CBA Inputs'!$E29-'CBA Inputs'!$E29/'CBA Inputs'!$I29*(Q$34-'CBA Inputs'!$H29+1),0),0)*IF(Q$34=FirstYear+AnalysisPeriod-1,1,0),0)*CapitalCost_ACTIVE*Q$31*IF(Scenario_Select='CBA Inputs'!$J29,1,0)</f>
        <v>0</v>
      </c>
      <c r="R67" s="17">
        <f>IFERROR(IF(R$34&gt;='CBA Inputs'!$H29,MAX('CBA Inputs'!$E29-'CBA Inputs'!$E29/'CBA Inputs'!$I29*(R$34-'CBA Inputs'!$H29+1),0),0)*IF(R$34=FirstYear+AnalysisPeriod-1,1,0),0)*CapitalCost_ACTIVE*R$31*IF(Scenario_Select='CBA Inputs'!$J29,1,0)</f>
        <v>0</v>
      </c>
      <c r="S67" s="17">
        <f>IFERROR(IF(S$34&gt;='CBA Inputs'!$H29,MAX('CBA Inputs'!$E29-'CBA Inputs'!$E29/'CBA Inputs'!$I29*(S$34-'CBA Inputs'!$H29+1),0),0)*IF(S$34=FirstYear+AnalysisPeriod-1,1,0),0)*CapitalCost_ACTIVE*S$31*IF(Scenario_Select='CBA Inputs'!$J29,1,0)</f>
        <v>0</v>
      </c>
      <c r="T67" s="17">
        <f>IFERROR(IF(T$34&gt;='CBA Inputs'!$H29,MAX('CBA Inputs'!$E29-'CBA Inputs'!$E29/'CBA Inputs'!$I29*(T$34-'CBA Inputs'!$H29+1),0),0)*IF(T$34=FirstYear+AnalysisPeriod-1,1,0),0)*CapitalCost_ACTIVE*T$31*IF(Scenario_Select='CBA Inputs'!$J29,1,0)</f>
        <v>0</v>
      </c>
      <c r="U67" s="17">
        <f>IFERROR(IF(U$34&gt;='CBA Inputs'!$H29,MAX('CBA Inputs'!$E29-'CBA Inputs'!$E29/'CBA Inputs'!$I29*(U$34-'CBA Inputs'!$H29+1),0),0)*IF(U$34=FirstYear+AnalysisPeriod-1,1,0),0)*CapitalCost_ACTIVE*U$31*IF(Scenario_Select='CBA Inputs'!$J29,1,0)</f>
        <v>0</v>
      </c>
      <c r="V67" s="17">
        <f>IFERROR(IF(V$34&gt;='CBA Inputs'!$H29,MAX('CBA Inputs'!$E29-'CBA Inputs'!$E29/'CBA Inputs'!$I29*(V$34-'CBA Inputs'!$H29+1),0),0)*IF(V$34=FirstYear+AnalysisPeriod-1,1,0),0)*CapitalCost_ACTIVE*V$31*IF(Scenario_Select='CBA Inputs'!$J29,1,0)</f>
        <v>0</v>
      </c>
      <c r="W67" s="17">
        <f>IFERROR(IF(W$34&gt;='CBA Inputs'!$H29,MAX('CBA Inputs'!$E29-'CBA Inputs'!$E29/'CBA Inputs'!$I29*(W$34-'CBA Inputs'!$H29+1),0),0)*IF(W$34=FirstYear+AnalysisPeriod-1,1,0),0)*CapitalCost_ACTIVE*W$31*IF(Scenario_Select='CBA Inputs'!$J29,1,0)</f>
        <v>0</v>
      </c>
      <c r="X67" s="17">
        <f>IFERROR(IF(X$34&gt;='CBA Inputs'!$H29,MAX('CBA Inputs'!$E29-'CBA Inputs'!$E29/'CBA Inputs'!$I29*(X$34-'CBA Inputs'!$H29+1),0),0)*IF(X$34=FirstYear+AnalysisPeriod-1,1,0),0)*CapitalCost_ACTIVE*X$31*IF(Scenario_Select='CBA Inputs'!$J29,1,0)</f>
        <v>0</v>
      </c>
      <c r="Y67" s="17">
        <f>IFERROR(IF(Y$34&gt;='CBA Inputs'!$H29,MAX('CBA Inputs'!$E29-'CBA Inputs'!$E29/'CBA Inputs'!$I29*(Y$34-'CBA Inputs'!$H29+1),0),0)*IF(Y$34=FirstYear+AnalysisPeriod-1,1,0),0)*CapitalCost_ACTIVE*Y$31*IF(Scenario_Select='CBA Inputs'!$J29,1,0)</f>
        <v>0</v>
      </c>
      <c r="Z67" s="17">
        <f>IFERROR(IF(Z$34&gt;='CBA Inputs'!$H29,MAX('CBA Inputs'!$E29-'CBA Inputs'!$E29/'CBA Inputs'!$I29*(Z$34-'CBA Inputs'!$H29+1),0),0)*IF(Z$34=FirstYear+AnalysisPeriod-1,1,0),0)*CapitalCost_ACTIVE*Z$31*IF(Scenario_Select='CBA Inputs'!$J29,1,0)</f>
        <v>0</v>
      </c>
      <c r="AA67" s="17">
        <f>IFERROR(IF(AA$34&gt;='CBA Inputs'!$H29,MAX('CBA Inputs'!$E29-'CBA Inputs'!$E29/'CBA Inputs'!$I29*(AA$34-'CBA Inputs'!$H29+1),0),0)*IF(AA$34=FirstYear+AnalysisPeriod-1,1,0),0)*CapitalCost_ACTIVE*AA$31*IF(Scenario_Select='CBA Inputs'!$J29,1,0)</f>
        <v>0</v>
      </c>
      <c r="AB67" s="17">
        <f>IFERROR(IF(AB$34&gt;='CBA Inputs'!$H29,MAX('CBA Inputs'!$E29-'CBA Inputs'!$E29/'CBA Inputs'!$I29*(AB$34-'CBA Inputs'!$H29+1),0),0)*IF(AB$34=FirstYear+AnalysisPeriod-1,1,0),0)*CapitalCost_ACTIVE*AB$31*IF(Scenario_Select='CBA Inputs'!$J29,1,0)</f>
        <v>0</v>
      </c>
      <c r="AC67" s="17">
        <f>IFERROR(IF(AC$34&gt;='CBA Inputs'!$H29,MAX('CBA Inputs'!$E29-'CBA Inputs'!$E29/'CBA Inputs'!$I29*(AC$34-'CBA Inputs'!$H29+1),0),0)*IF(AC$34=FirstYear+AnalysisPeriod-1,1,0),0)*CapitalCost_ACTIVE*AC$31*IF(Scenario_Select='CBA Inputs'!$J29,1,0)</f>
        <v>0</v>
      </c>
      <c r="AD67" s="17">
        <f>IFERROR(IF(AD$34&gt;='CBA Inputs'!$H29,MAX('CBA Inputs'!$E29-'CBA Inputs'!$E29/'CBA Inputs'!$I29*(AD$34-'CBA Inputs'!$H29+1),0),0)*IF(AD$34=FirstYear+AnalysisPeriod-1,1,0),0)*CapitalCost_ACTIVE*AD$31*IF(Scenario_Select='CBA Inputs'!$J29,1,0)</f>
        <v>0</v>
      </c>
      <c r="AE67" s="17">
        <f>IFERROR(IF(AE$34&gt;='CBA Inputs'!$H29,MAX('CBA Inputs'!$E29-'CBA Inputs'!$E29/'CBA Inputs'!$I29*(AE$34-'CBA Inputs'!$H29+1),0),0)*IF(AE$34=FirstYear+AnalysisPeriod-1,1,0),0)*CapitalCost_ACTIVE*AE$31*IF(Scenario_Select='CBA Inputs'!$J29,1,0)</f>
        <v>0</v>
      </c>
      <c r="AF67" s="17">
        <f>IFERROR(IF(AF$34&gt;='CBA Inputs'!$H29,MAX('CBA Inputs'!$E29-'CBA Inputs'!$E29/'CBA Inputs'!$I29*(AF$34-'CBA Inputs'!$H29+1),0),0)*IF(AF$34=FirstYear+AnalysisPeriod-1,1,0),0)*CapitalCost_ACTIVE*AF$31*IF(Scenario_Select='CBA Inputs'!$J29,1,0)</f>
        <v>0</v>
      </c>
      <c r="AG67" s="17">
        <f>IFERROR(IF(AG$34&gt;='CBA Inputs'!$H29,MAX('CBA Inputs'!$E29-'CBA Inputs'!$E29/'CBA Inputs'!$I29*(AG$34-'CBA Inputs'!$H29+1),0),0)*IF(AG$34=FirstYear+AnalysisPeriod-1,1,0),0)*CapitalCost_ACTIVE*AG$31*IF(Scenario_Select='CBA Inputs'!$J29,1,0)</f>
        <v>0</v>
      </c>
      <c r="AH67" s="17">
        <f>IFERROR(IF(AH$34&gt;='CBA Inputs'!$H29,MAX('CBA Inputs'!$E29-'CBA Inputs'!$E29/'CBA Inputs'!$I29*(AH$34-'CBA Inputs'!$H29+1),0),0)*IF(AH$34=FirstYear+AnalysisPeriod-1,1,0),0)*CapitalCost_ACTIVE*AH$31*IF(Scenario_Select='CBA Inputs'!$J29,1,0)</f>
        <v>0</v>
      </c>
      <c r="AI67" s="17">
        <f>IFERROR(IF(AI$34&gt;='CBA Inputs'!$H29,MAX('CBA Inputs'!$E29-'CBA Inputs'!$E29/'CBA Inputs'!$I29*(AI$34-'CBA Inputs'!$H29+1),0),0)*IF(AI$34=FirstYear+AnalysisPeriod-1,1,0),0)*CapitalCost_ACTIVE*AI$31*IF(Scenario_Select='CBA Inputs'!$J29,1,0)</f>
        <v>0</v>
      </c>
      <c r="AJ67" s="17">
        <f>IFERROR(IF(AJ$34&gt;='CBA Inputs'!$H29,MAX('CBA Inputs'!$E29-'CBA Inputs'!$E29/'CBA Inputs'!$I29*(AJ$34-'CBA Inputs'!$H29+1),0),0)*IF(AJ$34=FirstYear+AnalysisPeriod-1,1,0),0)*CapitalCost_ACTIVE*AJ$31*IF(Scenario_Select='CBA Inputs'!$J29,1,0)</f>
        <v>0</v>
      </c>
      <c r="AN67" s="28"/>
      <c r="AO67" s="28"/>
    </row>
    <row r="68" spans="2:41" x14ac:dyDescent="0.35">
      <c r="AN68" s="28"/>
      <c r="AO68" s="28"/>
    </row>
    <row r="69" spans="2:41" x14ac:dyDescent="0.35">
      <c r="B69" s="5" t="s">
        <v>17</v>
      </c>
      <c r="C69" s="27"/>
      <c r="D69" s="27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2:41" x14ac:dyDescent="0.35">
      <c r="B70" s="7" t="s">
        <v>14</v>
      </c>
      <c r="C70" s="10" t="s">
        <v>13</v>
      </c>
      <c r="D70" s="10"/>
      <c r="E70" s="8" t="str">
        <f t="shared" ref="E70" si="36">E$7</f>
        <v>Units</v>
      </c>
      <c r="F70" s="8" t="s">
        <v>37</v>
      </c>
      <c r="G70" s="13" t="str">
        <f>G$32</f>
        <v>FY 2019-20</v>
      </c>
      <c r="H70" s="13" t="str">
        <f t="shared" ref="H70:AJ70" si="37">H$32</f>
        <v>FY 2020-21</v>
      </c>
      <c r="I70" s="13" t="str">
        <f t="shared" si="37"/>
        <v>FY 2021-22</v>
      </c>
      <c r="J70" s="13" t="str">
        <f t="shared" si="37"/>
        <v>FY 2022-23</v>
      </c>
      <c r="K70" s="13" t="str">
        <f t="shared" si="37"/>
        <v>FY 2023-24</v>
      </c>
      <c r="L70" s="13" t="str">
        <f t="shared" si="37"/>
        <v>FY 2024-25</v>
      </c>
      <c r="M70" s="13" t="str">
        <f t="shared" si="37"/>
        <v>FY 2025-26</v>
      </c>
      <c r="N70" s="13" t="str">
        <f t="shared" si="37"/>
        <v>FY 2026-27</v>
      </c>
      <c r="O70" s="13" t="str">
        <f t="shared" si="37"/>
        <v>FY 2027-28</v>
      </c>
      <c r="P70" s="13" t="str">
        <f t="shared" si="37"/>
        <v>FY 2028-29</v>
      </c>
      <c r="Q70" s="13" t="str">
        <f t="shared" si="37"/>
        <v>FY 2029-30</v>
      </c>
      <c r="R70" s="13" t="str">
        <f t="shared" si="37"/>
        <v>FY 2030-31</v>
      </c>
      <c r="S70" s="13" t="str">
        <f t="shared" si="37"/>
        <v>FY 2031-32</v>
      </c>
      <c r="T70" s="13" t="str">
        <f t="shared" si="37"/>
        <v>FY 2032-33</v>
      </c>
      <c r="U70" s="13" t="str">
        <f t="shared" si="37"/>
        <v>FY 2033-34</v>
      </c>
      <c r="V70" s="13" t="str">
        <f t="shared" si="37"/>
        <v>FY 2034-35</v>
      </c>
      <c r="W70" s="13" t="str">
        <f t="shared" si="37"/>
        <v>FY 2035-36</v>
      </c>
      <c r="X70" s="13" t="str">
        <f t="shared" si="37"/>
        <v>FY 2036-37</v>
      </c>
      <c r="Y70" s="13" t="str">
        <f t="shared" si="37"/>
        <v>FY 2037-38</v>
      </c>
      <c r="Z70" s="13" t="str">
        <f t="shared" si="37"/>
        <v>FY 2038-39</v>
      </c>
      <c r="AA70" s="13" t="str">
        <f t="shared" si="37"/>
        <v>FY 2039-40</v>
      </c>
      <c r="AB70" s="13" t="str">
        <f t="shared" si="37"/>
        <v>FY 2040-41</v>
      </c>
      <c r="AC70" s="13" t="str">
        <f t="shared" si="37"/>
        <v>FY 2041-42</v>
      </c>
      <c r="AD70" s="13" t="str">
        <f t="shared" si="37"/>
        <v>FY 2042-43</v>
      </c>
      <c r="AE70" s="13" t="str">
        <f t="shared" si="37"/>
        <v>FY 2043-44</v>
      </c>
      <c r="AF70" s="13" t="str">
        <f t="shared" si="37"/>
        <v>FY 2044-45</v>
      </c>
      <c r="AG70" s="13" t="str">
        <f t="shared" si="37"/>
        <v>FY 2045-46</v>
      </c>
      <c r="AH70" s="13" t="str">
        <f t="shared" si="37"/>
        <v>FY 2046-47</v>
      </c>
      <c r="AI70" s="13" t="str">
        <f t="shared" si="37"/>
        <v>FY 2047-48</v>
      </c>
      <c r="AJ70" s="13" t="str">
        <f t="shared" si="37"/>
        <v>FY 2048-49</v>
      </c>
    </row>
    <row r="71" spans="2:41" x14ac:dyDescent="0.35">
      <c r="B71" s="9">
        <f>+'Option inputs'!$B$15</f>
        <v>1</v>
      </c>
      <c r="C71" s="14" t="str">
        <f>+'Option inputs'!$C$15</f>
        <v>Option 1A</v>
      </c>
      <c r="D71" s="25"/>
      <c r="E71" s="12" t="s">
        <v>35</v>
      </c>
      <c r="F71" s="18">
        <f t="shared" ref="F71:F74" si="38">NPV(DiscountRate_ACTIVE,G71:AJ71)/(1+DiscountRate_ACTIVE)^(FirstYear-BaseYear-2)</f>
        <v>-192639420.80652434</v>
      </c>
      <c r="G71" s="17">
        <f>SUMIF($C$37:$C$51,$C71,G$37:G$51)-SUMIF($C$37:$C$51,'Option inputs'!$C$14,G$37:G$51)*'Option inputs'!$F15*G$31+SUMIF($C$53:$C$67,$C71,G$53:G$67)-SUMIF($C$53:$C$67,'Option inputs'!$C$14,G$53:G$67)*'Option inputs'!$F15*G$31</f>
        <v>0</v>
      </c>
      <c r="H71" s="17">
        <f>SUMIF($C$37:$C$51,$C71,H$37:H$51)-SUMIF($C$37:$C$51,'Option inputs'!$C$14,H$37:H$51)*'Option inputs'!$F15*H$31+SUMIF($C$53:$C$67,$C71,H$53:H$67)-SUMIF($C$53:$C$67,'Option inputs'!$C$14,H$53:H$67)*'Option inputs'!$F15*H$31</f>
        <v>0</v>
      </c>
      <c r="I71" s="17">
        <f>SUMIF($C$37:$C$51,$C71,I$37:I$51)-SUMIF($C$37:$C$51,'Option inputs'!$C$14,I$37:I$51)*'Option inputs'!$F15*I$31+SUMIF($C$53:$C$67,$C71,I$53:I$67)-SUMIF($C$53:$C$67,'Option inputs'!$C$14,I$53:I$67)*'Option inputs'!$F15*I$31</f>
        <v>-230010000</v>
      </c>
      <c r="J71" s="17">
        <f>SUMIF($C$37:$C$51,$C71,J$37:J$51)-SUMIF($C$37:$C$51,'Option inputs'!$C$14,J$37:J$51)*'Option inputs'!$F15*J$31+SUMIF($C$53:$C$67,$C71,J$53:J$67)-SUMIF($C$53:$C$67,'Option inputs'!$C$14,J$53:J$67)*'Option inputs'!$F15*J$31</f>
        <v>0</v>
      </c>
      <c r="K71" s="17">
        <f>SUMIF($C$37:$C$51,$C71,K$37:K$51)-SUMIF($C$37:$C$51,'Option inputs'!$C$14,K$37:K$51)*'Option inputs'!$F15*K$31+SUMIF($C$53:$C$67,$C71,K$53:K$67)-SUMIF($C$53:$C$67,'Option inputs'!$C$14,K$53:K$67)*'Option inputs'!$F15*K$31</f>
        <v>0</v>
      </c>
      <c r="L71" s="17">
        <f>SUMIF($C$37:$C$51,$C71,L$37:L$51)-SUMIF($C$37:$C$51,'Option inputs'!$C$14,L$37:L$51)*'Option inputs'!$F15*L$31+SUMIF($C$53:$C$67,$C71,L$53:L$67)-SUMIF($C$53:$C$67,'Option inputs'!$C$14,L$53:L$67)*'Option inputs'!$F15*L$31</f>
        <v>0</v>
      </c>
      <c r="M71" s="17">
        <f>SUMIF($C$37:$C$51,$C71,M$37:M$51)-SUMIF($C$37:$C$51,'Option inputs'!$C$14,M$37:M$51)*'Option inputs'!$F15*M$31+SUMIF($C$53:$C$67,$C71,M$53:M$67)-SUMIF($C$53:$C$67,'Option inputs'!$C$14,M$53:M$67)*'Option inputs'!$F15*M$31</f>
        <v>0</v>
      </c>
      <c r="N71" s="17">
        <f>SUMIF($C$37:$C$51,$C71,N$37:N$51)-SUMIF($C$37:$C$51,'Option inputs'!$C$14,N$37:N$51)*'Option inputs'!$F15*N$31+SUMIF($C$53:$C$67,$C71,N$53:N$67)-SUMIF($C$53:$C$67,'Option inputs'!$C$14,N$53:N$67)*'Option inputs'!$F15*N$31</f>
        <v>0</v>
      </c>
      <c r="O71" s="17">
        <f>SUMIF($C$37:$C$51,$C71,O$37:O$51)-SUMIF($C$37:$C$51,'Option inputs'!$C$14,O$37:O$51)*'Option inputs'!$F15*O$31+SUMIF($C$53:$C$67,$C71,O$53:O$67)-SUMIF($C$53:$C$67,'Option inputs'!$C$14,O$53:O$67)*'Option inputs'!$F15*O$31</f>
        <v>0</v>
      </c>
      <c r="P71" s="17">
        <f>SUMIF($C$37:$C$51,$C71,P$37:P$51)-SUMIF($C$37:$C$51,'Option inputs'!$C$14,P$37:P$51)*'Option inputs'!$F15*P$31+SUMIF($C$53:$C$67,$C71,P$53:P$67)-SUMIF($C$53:$C$67,'Option inputs'!$C$14,P$53:P$67)*'Option inputs'!$F15*P$31</f>
        <v>0</v>
      </c>
      <c r="Q71" s="17">
        <f>SUMIF($C$37:$C$51,$C71,Q$37:Q$51)-SUMIF($C$37:$C$51,'Option inputs'!$C$14,Q$37:Q$51)*'Option inputs'!$F15*Q$31+SUMIF($C$53:$C$67,$C71,Q$53:Q$67)-SUMIF($C$53:$C$67,'Option inputs'!$C$14,Q$53:Q$67)*'Option inputs'!$F15*Q$31</f>
        <v>0</v>
      </c>
      <c r="R71" s="17">
        <f>SUMIF($C$37:$C$51,$C71,R$37:R$51)-SUMIF($C$37:$C$51,'Option inputs'!$C$14,R$37:R$51)*'Option inputs'!$F15*R$31+SUMIF($C$53:$C$67,$C71,R$53:R$67)-SUMIF($C$53:$C$67,'Option inputs'!$C$14,R$53:R$67)*'Option inputs'!$F15*R$31</f>
        <v>0</v>
      </c>
      <c r="S71" s="17">
        <f>SUMIF($C$37:$C$51,$C71,S$37:S$51)-SUMIF($C$37:$C$51,'Option inputs'!$C$14,S$37:S$51)*'Option inputs'!$F15*S$31+SUMIF($C$53:$C$67,$C71,S$53:S$67)-SUMIF($C$53:$C$67,'Option inputs'!$C$14,S$53:S$67)*'Option inputs'!$F15*S$31</f>
        <v>0</v>
      </c>
      <c r="T71" s="17">
        <f>SUMIF($C$37:$C$51,$C71,T$37:T$51)-SUMIF($C$37:$C$51,'Option inputs'!$C$14,T$37:T$51)*'Option inputs'!$F15*T$31+SUMIF($C$53:$C$67,$C71,T$53:T$67)-SUMIF($C$53:$C$67,'Option inputs'!$C$14,T$53:T$67)*'Option inputs'!$F15*T$31</f>
        <v>0</v>
      </c>
      <c r="U71" s="17">
        <f>SUMIF($C$37:$C$51,$C71,U$37:U$51)-SUMIF($C$37:$C$51,'Option inputs'!$C$14,U$37:U$51)*'Option inputs'!$F15*U$31+SUMIF($C$53:$C$67,$C71,U$53:U$67)-SUMIF($C$53:$C$67,'Option inputs'!$C$14,U$53:U$67)*'Option inputs'!$F15*U$31</f>
        <v>0</v>
      </c>
      <c r="V71" s="17">
        <f>SUMIF($C$37:$C$51,$C71,V$37:V$51)-SUMIF($C$37:$C$51,'Option inputs'!$C$14,V$37:V$51)*'Option inputs'!$F15*V$31+SUMIF($C$53:$C$67,$C71,V$53:V$67)-SUMIF($C$53:$C$67,'Option inputs'!$C$14,V$53:V$67)*'Option inputs'!$F15*V$31</f>
        <v>0</v>
      </c>
      <c r="W71" s="17">
        <f>SUMIF($C$37:$C$51,$C71,W$37:W$51)-SUMIF($C$37:$C$51,'Option inputs'!$C$14,W$37:W$51)*'Option inputs'!$F15*W$31+SUMIF($C$53:$C$67,$C71,W$53:W$67)-SUMIF($C$53:$C$67,'Option inputs'!$C$14,W$53:W$67)*'Option inputs'!$F15*W$31</f>
        <v>0</v>
      </c>
      <c r="X71" s="17">
        <f>SUMIF($C$37:$C$51,$C71,X$37:X$51)-SUMIF($C$37:$C$51,'Option inputs'!$C$14,X$37:X$51)*'Option inputs'!$F15*X$31+SUMIF($C$53:$C$67,$C71,X$53:X$67)-SUMIF($C$53:$C$67,'Option inputs'!$C$14,X$53:X$67)*'Option inputs'!$F15*X$31</f>
        <v>0</v>
      </c>
      <c r="Y71" s="17">
        <f>SUMIF($C$37:$C$51,$C71,Y$37:Y$51)-SUMIF($C$37:$C$51,'Option inputs'!$C$14,Y$37:Y$51)*'Option inputs'!$F15*Y$31+SUMIF($C$53:$C$67,$C71,Y$53:Y$67)-SUMIF($C$53:$C$67,'Option inputs'!$C$14,Y$53:Y$67)*'Option inputs'!$F15*Y$31</f>
        <v>0</v>
      </c>
      <c r="Z71" s="17">
        <f>SUMIF($C$37:$C$51,$C71,Z$37:Z$51)-SUMIF($C$37:$C$51,'Option inputs'!$C$14,Z$37:Z$51)*'Option inputs'!$F15*Z$31+SUMIF($C$53:$C$67,$C71,Z$53:Z$67)-SUMIF($C$53:$C$67,'Option inputs'!$C$14,Z$53:Z$67)*'Option inputs'!$F15*Z$31</f>
        <v>0</v>
      </c>
      <c r="AA71" s="17">
        <f>SUMIF($C$37:$C$51,$C71,AA$37:AA$51)-SUMIF($C$37:$C$51,'Option inputs'!$C$14,AA$37:AA$51)*'Option inputs'!$F15*AA$31+SUMIF($C$53:$C$67,$C71,AA$53:AA$67)-SUMIF($C$53:$C$67,'Option inputs'!$C$14,AA$53:AA$67)*'Option inputs'!$F15*AA$31</f>
        <v>0</v>
      </c>
      <c r="AB71" s="17">
        <f>SUMIF($C$37:$C$51,$C71,AB$37:AB$51)-SUMIF($C$37:$C$51,'Option inputs'!$C$14,AB$37:AB$51)*'Option inputs'!$F15*AB$31+SUMIF($C$53:$C$67,$C71,AB$53:AB$67)-SUMIF($C$53:$C$67,'Option inputs'!$C$14,AB$53:AB$67)*'Option inputs'!$F15*AB$31</f>
        <v>0</v>
      </c>
      <c r="AC71" s="17">
        <f>SUMIF($C$37:$C$51,$C71,AC$37:AC$51)-SUMIF($C$37:$C$51,'Option inputs'!$C$14,AC$37:AC$51)*'Option inputs'!$F15*AC$31+SUMIF($C$53:$C$67,$C71,AC$53:AC$67)-SUMIF($C$53:$C$67,'Option inputs'!$C$14,AC$53:AC$67)*'Option inputs'!$F15*AC$31</f>
        <v>0</v>
      </c>
      <c r="AD71" s="17">
        <f>SUMIF($C$37:$C$51,$C71,AD$37:AD$51)-SUMIF($C$37:$C$51,'Option inputs'!$C$14,AD$37:AD$51)*'Option inputs'!$F15*AD$31+SUMIF($C$53:$C$67,$C71,AD$53:AD$67)-SUMIF($C$53:$C$67,'Option inputs'!$C$14,AD$53:AD$67)*'Option inputs'!$F15*AD$31</f>
        <v>0</v>
      </c>
      <c r="AE71" s="17">
        <f>SUMIF($C$37:$C$51,$C71,AE$37:AE$51)-SUMIF($C$37:$C$51,'Option inputs'!$C$14,AE$37:AE$51)*'Option inputs'!$F15*AE$31+SUMIF($C$53:$C$67,$C71,AE$53:AE$67)-SUMIF($C$53:$C$67,'Option inputs'!$C$14,AE$53:AE$67)*'Option inputs'!$F15*AE$31</f>
        <v>0</v>
      </c>
      <c r="AF71" s="17">
        <f>SUMIF($C$37:$C$51,$C71,AF$37:AF$51)-SUMIF($C$37:$C$51,'Option inputs'!$C$14,AF$37:AF$51)*'Option inputs'!$F15*AF$31+SUMIF($C$53:$C$67,$C71,AF$53:AF$67)-SUMIF($C$53:$C$67,'Option inputs'!$C$14,AF$53:AF$67)*'Option inputs'!$F15*AF$31</f>
        <v>97198931.709526449</v>
      </c>
      <c r="AG71" s="17">
        <f>SUMIF($C$37:$C$51,$C71,AG$37:AG$51)-SUMIF($C$37:$C$51,'Option inputs'!$C$14,AG$37:AG$51)*'Option inputs'!$F15*AG$31+SUMIF($C$53:$C$67,$C71,AG$53:AG$67)-SUMIF($C$53:$C$67,'Option inputs'!$C$14,AG$53:AG$67)*'Option inputs'!$F15*AG$31</f>
        <v>0</v>
      </c>
      <c r="AH71" s="17">
        <f>SUMIF($C$37:$C$51,$C71,AH$37:AH$51)-SUMIF($C$37:$C$51,'Option inputs'!$C$14,AH$37:AH$51)*'Option inputs'!$F15*AH$31+SUMIF($C$53:$C$67,$C71,AH$53:AH$67)-SUMIF($C$53:$C$67,'Option inputs'!$C$14,AH$53:AH$67)*'Option inputs'!$F15*AH$31</f>
        <v>0</v>
      </c>
      <c r="AI71" s="17">
        <f>SUMIF($C$37:$C$51,$C71,AI$37:AI$51)-SUMIF($C$37:$C$51,'Option inputs'!$C$14,AI$37:AI$51)*'Option inputs'!$F15*AI$31+SUMIF($C$53:$C$67,$C71,AI$53:AI$67)-SUMIF($C$53:$C$67,'Option inputs'!$C$14,AI$53:AI$67)*'Option inputs'!$F15*AI$31</f>
        <v>0</v>
      </c>
      <c r="AJ71" s="17">
        <f>SUMIF($C$37:$C$51,$C71,AJ$37:AJ$51)-SUMIF($C$37:$C$51,'Option inputs'!$C$14,AJ$37:AJ$51)*'Option inputs'!$F15*AJ$31+SUMIF($C$53:$C$67,$C71,AJ$53:AJ$67)-SUMIF($C$53:$C$67,'Option inputs'!$C$14,AJ$53:AJ$67)*'Option inputs'!$F15*AJ$31</f>
        <v>0</v>
      </c>
    </row>
    <row r="72" spans="2:41" x14ac:dyDescent="0.35">
      <c r="B72" s="9">
        <f>+'Option inputs'!$B$16</f>
        <v>2</v>
      </c>
      <c r="C72" s="14" t="str">
        <f>+'Option inputs'!$C$16</f>
        <v>Option 1B</v>
      </c>
      <c r="D72" s="25"/>
      <c r="E72" s="12" t="s">
        <v>35</v>
      </c>
      <c r="F72" s="18">
        <f t="shared" si="38"/>
        <v>-35192018.204508327</v>
      </c>
      <c r="G72" s="17">
        <f>SUMIF($C$37:$C$51,$C72,G$37:G$51)-SUMIF($C$37:$C$51,'Option inputs'!$C$14,G$37:G$51)*'Option inputs'!$F16*G$31+SUMIF($C$53:$C$67,$C72,G$53:G$67)-SUMIF($C$53:$C$67,'Option inputs'!$C$14,G$53:G$67)*'Option inputs'!$F16*G$31</f>
        <v>0</v>
      </c>
      <c r="H72" s="17">
        <f>SUMIF($C$37:$C$51,$C72,H$37:H$51)-SUMIF($C$37:$C$51,'Option inputs'!$C$14,H$37:H$51)*'Option inputs'!$F16*H$31+SUMIF($C$53:$C$67,$C72,H$53:H$67)-SUMIF($C$53:$C$67,'Option inputs'!$C$14,H$53:H$67)*'Option inputs'!$F16*H$31</f>
        <v>0</v>
      </c>
      <c r="I72" s="17">
        <f>SUMIF($C$37:$C$51,$C72,I$37:I$51)-SUMIF($C$37:$C$51,'Option inputs'!$C$14,I$37:I$51)*'Option inputs'!$F16*I$31+SUMIF($C$53:$C$67,$C72,I$53:I$67)-SUMIF($C$53:$C$67,'Option inputs'!$C$14,I$53:I$67)*'Option inputs'!$F16*I$31</f>
        <v>-43291097.579387002</v>
      </c>
      <c r="J72" s="17">
        <f>SUMIF($C$37:$C$51,$C72,J$37:J$51)-SUMIF($C$37:$C$51,'Option inputs'!$C$14,J$37:J$51)*'Option inputs'!$F16*J$31+SUMIF($C$53:$C$67,$C72,J$53:J$67)-SUMIF($C$53:$C$67,'Option inputs'!$C$14,J$53:J$67)*'Option inputs'!$F16*J$31</f>
        <v>0</v>
      </c>
      <c r="K72" s="17">
        <f>SUMIF($C$37:$C$51,$C72,K$37:K$51)-SUMIF($C$37:$C$51,'Option inputs'!$C$14,K$37:K$51)*'Option inputs'!$F16*K$31+SUMIF($C$53:$C$67,$C72,K$53:K$67)-SUMIF($C$53:$C$67,'Option inputs'!$C$14,K$53:K$67)*'Option inputs'!$F16*K$31</f>
        <v>0</v>
      </c>
      <c r="L72" s="17">
        <f>SUMIF($C$37:$C$51,$C72,L$37:L$51)-SUMIF($C$37:$C$51,'Option inputs'!$C$14,L$37:L$51)*'Option inputs'!$F16*L$31+SUMIF($C$53:$C$67,$C72,L$53:L$67)-SUMIF($C$53:$C$67,'Option inputs'!$C$14,L$53:L$67)*'Option inputs'!$F16*L$31</f>
        <v>0</v>
      </c>
      <c r="M72" s="17">
        <f>SUMIF($C$37:$C$51,$C72,M$37:M$51)-SUMIF($C$37:$C$51,'Option inputs'!$C$14,M$37:M$51)*'Option inputs'!$F16*M$31+SUMIF($C$53:$C$67,$C72,M$53:M$67)-SUMIF($C$53:$C$67,'Option inputs'!$C$14,M$53:M$67)*'Option inputs'!$F16*M$31</f>
        <v>0</v>
      </c>
      <c r="N72" s="17">
        <f>SUMIF($C$37:$C$51,$C72,N$37:N$51)-SUMIF($C$37:$C$51,'Option inputs'!$C$14,N$37:N$51)*'Option inputs'!$F16*N$31+SUMIF($C$53:$C$67,$C72,N$53:N$67)-SUMIF($C$53:$C$67,'Option inputs'!$C$14,N$53:N$67)*'Option inputs'!$F16*N$31</f>
        <v>0</v>
      </c>
      <c r="O72" s="17">
        <f>SUMIF($C$37:$C$51,$C72,O$37:O$51)-SUMIF($C$37:$C$51,'Option inputs'!$C$14,O$37:O$51)*'Option inputs'!$F16*O$31+SUMIF($C$53:$C$67,$C72,O$53:O$67)-SUMIF($C$53:$C$67,'Option inputs'!$C$14,O$53:O$67)*'Option inputs'!$F16*O$31</f>
        <v>0</v>
      </c>
      <c r="P72" s="17">
        <f>SUMIF($C$37:$C$51,$C72,P$37:P$51)-SUMIF($C$37:$C$51,'Option inputs'!$C$14,P$37:P$51)*'Option inputs'!$F16*P$31+SUMIF($C$53:$C$67,$C72,P$53:P$67)-SUMIF($C$53:$C$67,'Option inputs'!$C$14,P$53:P$67)*'Option inputs'!$F16*P$31</f>
        <v>0</v>
      </c>
      <c r="Q72" s="17">
        <f>SUMIF($C$37:$C$51,$C72,Q$37:Q$51)-SUMIF($C$37:$C$51,'Option inputs'!$C$14,Q$37:Q$51)*'Option inputs'!$F16*Q$31+SUMIF($C$53:$C$67,$C72,Q$53:Q$67)-SUMIF($C$53:$C$67,'Option inputs'!$C$14,Q$53:Q$67)*'Option inputs'!$F16*Q$31</f>
        <v>0</v>
      </c>
      <c r="R72" s="17">
        <f>SUMIF($C$37:$C$51,$C72,R$37:R$51)-SUMIF($C$37:$C$51,'Option inputs'!$C$14,R$37:R$51)*'Option inputs'!$F16*R$31+SUMIF($C$53:$C$67,$C72,R$53:R$67)-SUMIF($C$53:$C$67,'Option inputs'!$C$14,R$53:R$67)*'Option inputs'!$F16*R$31</f>
        <v>0</v>
      </c>
      <c r="S72" s="17">
        <f>SUMIF($C$37:$C$51,$C72,S$37:S$51)-SUMIF($C$37:$C$51,'Option inputs'!$C$14,S$37:S$51)*'Option inputs'!$F16*S$31+SUMIF($C$53:$C$67,$C72,S$53:S$67)-SUMIF($C$53:$C$67,'Option inputs'!$C$14,S$53:S$67)*'Option inputs'!$F16*S$31</f>
        <v>0</v>
      </c>
      <c r="T72" s="17">
        <f>SUMIF($C$37:$C$51,$C72,T$37:T$51)-SUMIF($C$37:$C$51,'Option inputs'!$C$14,T$37:T$51)*'Option inputs'!$F16*T$31+SUMIF($C$53:$C$67,$C72,T$53:T$67)-SUMIF($C$53:$C$67,'Option inputs'!$C$14,T$53:T$67)*'Option inputs'!$F16*T$31</f>
        <v>0</v>
      </c>
      <c r="U72" s="17">
        <f>SUMIF($C$37:$C$51,$C72,U$37:U$51)-SUMIF($C$37:$C$51,'Option inputs'!$C$14,U$37:U$51)*'Option inputs'!$F16*U$31+SUMIF($C$53:$C$67,$C72,U$53:U$67)-SUMIF($C$53:$C$67,'Option inputs'!$C$14,U$53:U$67)*'Option inputs'!$F16*U$31</f>
        <v>0</v>
      </c>
      <c r="V72" s="17">
        <f>SUMIF($C$37:$C$51,$C72,V$37:V$51)-SUMIF($C$37:$C$51,'Option inputs'!$C$14,V$37:V$51)*'Option inputs'!$F16*V$31+SUMIF($C$53:$C$67,$C72,V$53:V$67)-SUMIF($C$53:$C$67,'Option inputs'!$C$14,V$53:V$67)*'Option inputs'!$F16*V$31</f>
        <v>0</v>
      </c>
      <c r="W72" s="17">
        <f>SUMIF($C$37:$C$51,$C72,W$37:W$51)-SUMIF($C$37:$C$51,'Option inputs'!$C$14,W$37:W$51)*'Option inputs'!$F16*W$31+SUMIF($C$53:$C$67,$C72,W$53:W$67)-SUMIF($C$53:$C$67,'Option inputs'!$C$14,W$53:W$67)*'Option inputs'!$F16*W$31</f>
        <v>0</v>
      </c>
      <c r="X72" s="17">
        <f>SUMIF($C$37:$C$51,$C72,X$37:X$51)-SUMIF($C$37:$C$51,'Option inputs'!$C$14,X$37:X$51)*'Option inputs'!$F16*X$31+SUMIF($C$53:$C$67,$C72,X$53:X$67)-SUMIF($C$53:$C$67,'Option inputs'!$C$14,X$53:X$67)*'Option inputs'!$F16*X$31</f>
        <v>0</v>
      </c>
      <c r="Y72" s="17">
        <f>SUMIF($C$37:$C$51,$C72,Y$37:Y$51)-SUMIF($C$37:$C$51,'Option inputs'!$C$14,Y$37:Y$51)*'Option inputs'!$F16*Y$31+SUMIF($C$53:$C$67,$C72,Y$53:Y$67)-SUMIF($C$53:$C$67,'Option inputs'!$C$14,Y$53:Y$67)*'Option inputs'!$F16*Y$31</f>
        <v>0</v>
      </c>
      <c r="Z72" s="17">
        <f>SUMIF($C$37:$C$51,$C72,Z$37:Z$51)-SUMIF($C$37:$C$51,'Option inputs'!$C$14,Z$37:Z$51)*'Option inputs'!$F16*Z$31+SUMIF($C$53:$C$67,$C72,Z$53:Z$67)-SUMIF($C$53:$C$67,'Option inputs'!$C$14,Z$53:Z$67)*'Option inputs'!$F16*Z$31</f>
        <v>0</v>
      </c>
      <c r="AA72" s="17">
        <f>SUMIF($C$37:$C$51,$C72,AA$37:AA$51)-SUMIF($C$37:$C$51,'Option inputs'!$C$14,AA$37:AA$51)*'Option inputs'!$F16*AA$31+SUMIF($C$53:$C$67,$C72,AA$53:AA$67)-SUMIF($C$53:$C$67,'Option inputs'!$C$14,AA$53:AA$67)*'Option inputs'!$F16*AA$31</f>
        <v>0</v>
      </c>
      <c r="AB72" s="17">
        <f>SUMIF($C$37:$C$51,$C72,AB$37:AB$51)-SUMIF($C$37:$C$51,'Option inputs'!$C$14,AB$37:AB$51)*'Option inputs'!$F16*AB$31+SUMIF($C$53:$C$67,$C72,AB$53:AB$67)-SUMIF($C$53:$C$67,'Option inputs'!$C$14,AB$53:AB$67)*'Option inputs'!$F16*AB$31</f>
        <v>0</v>
      </c>
      <c r="AC72" s="17">
        <f>SUMIF($C$37:$C$51,$C72,AC$37:AC$51)-SUMIF($C$37:$C$51,'Option inputs'!$C$14,AC$37:AC$51)*'Option inputs'!$F16*AC$31+SUMIF($C$53:$C$67,$C72,AC$53:AC$67)-SUMIF($C$53:$C$67,'Option inputs'!$C$14,AC$53:AC$67)*'Option inputs'!$F16*AC$31</f>
        <v>0</v>
      </c>
      <c r="AD72" s="17">
        <f>SUMIF($C$37:$C$51,$C72,AD$37:AD$51)-SUMIF($C$37:$C$51,'Option inputs'!$C$14,AD$37:AD$51)*'Option inputs'!$F16*AD$31+SUMIF($C$53:$C$67,$C72,AD$53:AD$67)-SUMIF($C$53:$C$67,'Option inputs'!$C$14,AD$53:AD$67)*'Option inputs'!$F16*AD$31</f>
        <v>0</v>
      </c>
      <c r="AE72" s="17">
        <f>SUMIF($C$37:$C$51,$C72,AE$37:AE$51)-SUMIF($C$37:$C$51,'Option inputs'!$C$14,AE$37:AE$51)*'Option inputs'!$F16*AE$31+SUMIF($C$53:$C$67,$C72,AE$53:AE$67)-SUMIF($C$53:$C$67,'Option inputs'!$C$14,AE$53:AE$67)*'Option inputs'!$F16*AE$31</f>
        <v>0</v>
      </c>
      <c r="AF72" s="17">
        <f>SUMIF($C$37:$C$51,$C72,AF$37:AF$51)-SUMIF($C$37:$C$51,'Option inputs'!$C$14,AF$37:AF$51)*'Option inputs'!$F16*AF$31+SUMIF($C$53:$C$67,$C72,AF$53:AF$67)-SUMIF($C$53:$C$67,'Option inputs'!$C$14,AF$53:AF$67)*'Option inputs'!$F16*AF$31</f>
        <v>22511370.741281241</v>
      </c>
      <c r="AG72" s="17">
        <f>SUMIF($C$37:$C$51,$C72,AG$37:AG$51)-SUMIF($C$37:$C$51,'Option inputs'!$C$14,AG$37:AG$51)*'Option inputs'!$F16*AG$31+SUMIF($C$53:$C$67,$C72,AG$53:AG$67)-SUMIF($C$53:$C$67,'Option inputs'!$C$14,AG$53:AG$67)*'Option inputs'!$F16*AG$31</f>
        <v>0</v>
      </c>
      <c r="AH72" s="17">
        <f>SUMIF($C$37:$C$51,$C72,AH$37:AH$51)-SUMIF($C$37:$C$51,'Option inputs'!$C$14,AH$37:AH$51)*'Option inputs'!$F16*AH$31+SUMIF($C$53:$C$67,$C72,AH$53:AH$67)-SUMIF($C$53:$C$67,'Option inputs'!$C$14,AH$53:AH$67)*'Option inputs'!$F16*AH$31</f>
        <v>0</v>
      </c>
      <c r="AI72" s="17">
        <f>SUMIF($C$37:$C$51,$C72,AI$37:AI$51)-SUMIF($C$37:$C$51,'Option inputs'!$C$14,AI$37:AI$51)*'Option inputs'!$F16*AI$31+SUMIF($C$53:$C$67,$C72,AI$53:AI$67)-SUMIF($C$53:$C$67,'Option inputs'!$C$14,AI$53:AI$67)*'Option inputs'!$F16*AI$31</f>
        <v>0</v>
      </c>
      <c r="AJ72" s="17">
        <f>SUMIF($C$37:$C$51,$C72,AJ$37:AJ$51)-SUMIF($C$37:$C$51,'Option inputs'!$C$14,AJ$37:AJ$51)*'Option inputs'!$F16*AJ$31+SUMIF($C$53:$C$67,$C72,AJ$53:AJ$67)-SUMIF($C$53:$C$67,'Option inputs'!$C$14,AJ$53:AJ$67)*'Option inputs'!$F16*AJ$31</f>
        <v>0</v>
      </c>
    </row>
    <row r="73" spans="2:41" x14ac:dyDescent="0.35">
      <c r="B73" s="9">
        <f>+'Option inputs'!$B$17</f>
        <v>3</v>
      </c>
      <c r="C73" s="14" t="str">
        <f>+'Option inputs'!$C$17</f>
        <v>Option 1C</v>
      </c>
      <c r="D73" s="25"/>
      <c r="E73" s="12" t="s">
        <v>35</v>
      </c>
      <c r="F73" s="18">
        <f>NPV(DiscountRate_ACTIVE,G73:AJ73)/(1+DiscountRate_ACTIVE)^(FirstYear-BaseYear-2)</f>
        <v>-157447402.60201597</v>
      </c>
      <c r="G73" s="17">
        <f>SUMIF($C$37:$C$51,$C73,G$37:G$51)-SUMIF($C$37:$C$51,'Option inputs'!$C$14,G$37:G$51)*'Option inputs'!$F17*G$31+SUMIF($C$53:$C$67,$C73,G$53:G$67)-SUMIF($C$53:$C$67,'Option inputs'!$C$14,G$53:G$67)*'Option inputs'!$F17*G$31</f>
        <v>0</v>
      </c>
      <c r="H73" s="17">
        <f>SUMIF($C$37:$C$51,$C73,H$37:H$51)-SUMIF($C$37:$C$51,'Option inputs'!$C$14,H$37:H$51)*'Option inputs'!$F17*H$31+SUMIF($C$53:$C$67,$C73,H$53:H$67)-SUMIF($C$53:$C$67,'Option inputs'!$C$14,H$53:H$67)*'Option inputs'!$F17*H$31</f>
        <v>0</v>
      </c>
      <c r="I73" s="17">
        <f>SUMIF($C$37:$C$51,$C73,I$37:I$51)-SUMIF($C$37:$C$51,'Option inputs'!$C$14,I$37:I$51)*'Option inputs'!$F17*I$31+SUMIF($C$53:$C$67,$C73,I$53:I$67)-SUMIF($C$53:$C$67,'Option inputs'!$C$14,I$53:I$67)*'Option inputs'!$F17*I$31</f>
        <v>-186718902.42061299</v>
      </c>
      <c r="J73" s="17">
        <f>SUMIF($C$37:$C$51,$C73,J$37:J$51)-SUMIF($C$37:$C$51,'Option inputs'!$C$14,J$37:J$51)*'Option inputs'!$F17*J$31+SUMIF($C$53:$C$67,$C73,J$53:J$67)-SUMIF($C$53:$C$67,'Option inputs'!$C$14,J$53:J$67)*'Option inputs'!$F17*J$31</f>
        <v>0</v>
      </c>
      <c r="K73" s="17">
        <f>SUMIF($C$37:$C$51,$C73,K$37:K$51)-SUMIF($C$37:$C$51,'Option inputs'!$C$14,K$37:K$51)*'Option inputs'!$F17*K$31+SUMIF($C$53:$C$67,$C73,K$53:K$67)-SUMIF($C$53:$C$67,'Option inputs'!$C$14,K$53:K$67)*'Option inputs'!$F17*K$31</f>
        <v>0</v>
      </c>
      <c r="L73" s="17">
        <f>SUMIF($C$37:$C$51,$C73,L$37:L$51)-SUMIF($C$37:$C$51,'Option inputs'!$C$14,L$37:L$51)*'Option inputs'!$F17*L$31+SUMIF($C$53:$C$67,$C73,L$53:L$67)-SUMIF($C$53:$C$67,'Option inputs'!$C$14,L$53:L$67)*'Option inputs'!$F17*L$31</f>
        <v>0</v>
      </c>
      <c r="M73" s="17">
        <f>SUMIF($C$37:$C$51,$C73,M$37:M$51)-SUMIF($C$37:$C$51,'Option inputs'!$C$14,M$37:M$51)*'Option inputs'!$F17*M$31+SUMIF($C$53:$C$67,$C73,M$53:M$67)-SUMIF($C$53:$C$67,'Option inputs'!$C$14,M$53:M$67)*'Option inputs'!$F17*M$31</f>
        <v>0</v>
      </c>
      <c r="N73" s="17">
        <f>SUMIF($C$37:$C$51,$C73,N$37:N$51)-SUMIF($C$37:$C$51,'Option inputs'!$C$14,N$37:N$51)*'Option inputs'!$F17*N$31+SUMIF($C$53:$C$67,$C73,N$53:N$67)-SUMIF($C$53:$C$67,'Option inputs'!$C$14,N$53:N$67)*'Option inputs'!$F17*N$31</f>
        <v>0</v>
      </c>
      <c r="O73" s="17">
        <f>SUMIF($C$37:$C$51,$C73,O$37:O$51)-SUMIF($C$37:$C$51,'Option inputs'!$C$14,O$37:O$51)*'Option inputs'!$F17*O$31+SUMIF($C$53:$C$67,$C73,O$53:O$67)-SUMIF($C$53:$C$67,'Option inputs'!$C$14,O$53:O$67)*'Option inputs'!$F17*O$31</f>
        <v>0</v>
      </c>
      <c r="P73" s="17">
        <f>SUMIF($C$37:$C$51,$C73,P$37:P$51)-SUMIF($C$37:$C$51,'Option inputs'!$C$14,P$37:P$51)*'Option inputs'!$F17*P$31+SUMIF($C$53:$C$67,$C73,P$53:P$67)-SUMIF($C$53:$C$67,'Option inputs'!$C$14,P$53:P$67)*'Option inputs'!$F17*P$31</f>
        <v>0</v>
      </c>
      <c r="Q73" s="17">
        <f>SUMIF($C$37:$C$51,$C73,Q$37:Q$51)-SUMIF($C$37:$C$51,'Option inputs'!$C$14,Q$37:Q$51)*'Option inputs'!$F17*Q$31+SUMIF($C$53:$C$67,$C73,Q$53:Q$67)-SUMIF($C$53:$C$67,'Option inputs'!$C$14,Q$53:Q$67)*'Option inputs'!$F17*Q$31</f>
        <v>0</v>
      </c>
      <c r="R73" s="17">
        <f>SUMIF($C$37:$C$51,$C73,R$37:R$51)-SUMIF($C$37:$C$51,'Option inputs'!$C$14,R$37:R$51)*'Option inputs'!$F17*R$31+SUMIF($C$53:$C$67,$C73,R$53:R$67)-SUMIF($C$53:$C$67,'Option inputs'!$C$14,R$53:R$67)*'Option inputs'!$F17*R$31</f>
        <v>0</v>
      </c>
      <c r="S73" s="17">
        <f>SUMIF($C$37:$C$51,$C73,S$37:S$51)-SUMIF($C$37:$C$51,'Option inputs'!$C$14,S$37:S$51)*'Option inputs'!$F17*S$31+SUMIF($C$53:$C$67,$C73,S$53:S$67)-SUMIF($C$53:$C$67,'Option inputs'!$C$14,S$53:S$67)*'Option inputs'!$F17*S$31</f>
        <v>0</v>
      </c>
      <c r="T73" s="17">
        <f>SUMIF($C$37:$C$51,$C73,T$37:T$51)-SUMIF($C$37:$C$51,'Option inputs'!$C$14,T$37:T$51)*'Option inputs'!$F17*T$31+SUMIF($C$53:$C$67,$C73,T$53:T$67)-SUMIF($C$53:$C$67,'Option inputs'!$C$14,T$53:T$67)*'Option inputs'!$F17*T$31</f>
        <v>0</v>
      </c>
      <c r="U73" s="17">
        <f>SUMIF($C$37:$C$51,$C73,U$37:U$51)-SUMIF($C$37:$C$51,'Option inputs'!$C$14,U$37:U$51)*'Option inputs'!$F17*U$31+SUMIF($C$53:$C$67,$C73,U$53:U$67)-SUMIF($C$53:$C$67,'Option inputs'!$C$14,U$53:U$67)*'Option inputs'!$F17*U$31</f>
        <v>0</v>
      </c>
      <c r="V73" s="17">
        <f>SUMIF($C$37:$C$51,$C73,V$37:V$51)-SUMIF($C$37:$C$51,'Option inputs'!$C$14,V$37:V$51)*'Option inputs'!$F17*V$31+SUMIF($C$53:$C$67,$C73,V$53:V$67)-SUMIF($C$53:$C$67,'Option inputs'!$C$14,V$53:V$67)*'Option inputs'!$F17*V$31</f>
        <v>0</v>
      </c>
      <c r="W73" s="17">
        <f>SUMIF($C$37:$C$51,$C73,W$37:W$51)-SUMIF($C$37:$C$51,'Option inputs'!$C$14,W$37:W$51)*'Option inputs'!$F17*W$31+SUMIF($C$53:$C$67,$C73,W$53:W$67)-SUMIF($C$53:$C$67,'Option inputs'!$C$14,W$53:W$67)*'Option inputs'!$F17*W$31</f>
        <v>0</v>
      </c>
      <c r="X73" s="17">
        <f>SUMIF($C$37:$C$51,$C73,X$37:X$51)-SUMIF($C$37:$C$51,'Option inputs'!$C$14,X$37:X$51)*'Option inputs'!$F17*X$31+SUMIF($C$53:$C$67,$C73,X$53:X$67)-SUMIF($C$53:$C$67,'Option inputs'!$C$14,X$53:X$67)*'Option inputs'!$F17*X$31</f>
        <v>0</v>
      </c>
      <c r="Y73" s="17">
        <f>SUMIF($C$37:$C$51,$C73,Y$37:Y$51)-SUMIF($C$37:$C$51,'Option inputs'!$C$14,Y$37:Y$51)*'Option inputs'!$F17*Y$31+SUMIF($C$53:$C$67,$C73,Y$53:Y$67)-SUMIF($C$53:$C$67,'Option inputs'!$C$14,Y$53:Y$67)*'Option inputs'!$F17*Y$31</f>
        <v>0</v>
      </c>
      <c r="Z73" s="17">
        <f>SUMIF($C$37:$C$51,$C73,Z$37:Z$51)-SUMIF($C$37:$C$51,'Option inputs'!$C$14,Z$37:Z$51)*'Option inputs'!$F17*Z$31+SUMIF($C$53:$C$67,$C73,Z$53:Z$67)-SUMIF($C$53:$C$67,'Option inputs'!$C$14,Z$53:Z$67)*'Option inputs'!$F17*Z$31</f>
        <v>0</v>
      </c>
      <c r="AA73" s="17">
        <f>SUMIF($C$37:$C$51,$C73,AA$37:AA$51)-SUMIF($C$37:$C$51,'Option inputs'!$C$14,AA$37:AA$51)*'Option inputs'!$F17*AA$31+SUMIF($C$53:$C$67,$C73,AA$53:AA$67)-SUMIF($C$53:$C$67,'Option inputs'!$C$14,AA$53:AA$67)*'Option inputs'!$F17*AA$31</f>
        <v>0</v>
      </c>
      <c r="AB73" s="17">
        <f>SUMIF($C$37:$C$51,$C73,AB$37:AB$51)-SUMIF($C$37:$C$51,'Option inputs'!$C$14,AB$37:AB$51)*'Option inputs'!$F17*AB$31+SUMIF($C$53:$C$67,$C73,AB$53:AB$67)-SUMIF($C$53:$C$67,'Option inputs'!$C$14,AB$53:AB$67)*'Option inputs'!$F17*AB$31</f>
        <v>0</v>
      </c>
      <c r="AC73" s="17">
        <f>SUMIF($C$37:$C$51,$C73,AC$37:AC$51)-SUMIF($C$37:$C$51,'Option inputs'!$C$14,AC$37:AC$51)*'Option inputs'!$F17*AC$31+SUMIF($C$53:$C$67,$C73,AC$53:AC$67)-SUMIF($C$53:$C$67,'Option inputs'!$C$14,AC$53:AC$67)*'Option inputs'!$F17*AC$31</f>
        <v>0</v>
      </c>
      <c r="AD73" s="17">
        <f>SUMIF($C$37:$C$51,$C73,AD$37:AD$51)-SUMIF($C$37:$C$51,'Option inputs'!$C$14,AD$37:AD$51)*'Option inputs'!$F17*AD$31+SUMIF($C$53:$C$67,$C73,AD$53:AD$67)-SUMIF($C$53:$C$67,'Option inputs'!$C$14,AD$53:AD$67)*'Option inputs'!$F17*AD$31</f>
        <v>0</v>
      </c>
      <c r="AE73" s="17">
        <f>SUMIF($C$37:$C$51,$C73,AE$37:AE$51)-SUMIF($C$37:$C$51,'Option inputs'!$C$14,AE$37:AE$51)*'Option inputs'!$F17*AE$31+SUMIF($C$53:$C$67,$C73,AE$53:AE$67)-SUMIF($C$53:$C$67,'Option inputs'!$C$14,AE$53:AE$67)*'Option inputs'!$F17*AE$31</f>
        <v>0</v>
      </c>
      <c r="AF73" s="17">
        <f>SUMIF($C$37:$C$51,$C73,AF$37:AF$51)-SUMIF($C$37:$C$51,'Option inputs'!$C$14,AF$37:AF$51)*'Option inputs'!$F17*AF$31+SUMIF($C$53:$C$67,$C73,AF$53:AF$67)-SUMIF($C$53:$C$67,'Option inputs'!$C$14,AF$53:AF$67)*'Option inputs'!$F17*AF$31</f>
        <v>74687560.968245208</v>
      </c>
      <c r="AG73" s="17">
        <f>SUMIF($C$37:$C$51,$C73,AG$37:AG$51)-SUMIF($C$37:$C$51,'Option inputs'!$C$14,AG$37:AG$51)*'Option inputs'!$F17*AG$31+SUMIF($C$53:$C$67,$C73,AG$53:AG$67)-SUMIF($C$53:$C$67,'Option inputs'!$C$14,AG$53:AG$67)*'Option inputs'!$F17*AG$31</f>
        <v>0</v>
      </c>
      <c r="AH73" s="17">
        <f>SUMIF($C$37:$C$51,$C73,AH$37:AH$51)-SUMIF($C$37:$C$51,'Option inputs'!$C$14,AH$37:AH$51)*'Option inputs'!$F17*AH$31+SUMIF($C$53:$C$67,$C73,AH$53:AH$67)-SUMIF($C$53:$C$67,'Option inputs'!$C$14,AH$53:AH$67)*'Option inputs'!$F17*AH$31</f>
        <v>0</v>
      </c>
      <c r="AI73" s="17">
        <f>SUMIF($C$37:$C$51,$C73,AI$37:AI$51)-SUMIF($C$37:$C$51,'Option inputs'!$C$14,AI$37:AI$51)*'Option inputs'!$F17*AI$31+SUMIF($C$53:$C$67,$C73,AI$53:AI$67)-SUMIF($C$53:$C$67,'Option inputs'!$C$14,AI$53:AI$67)*'Option inputs'!$F17*AI$31</f>
        <v>0</v>
      </c>
      <c r="AJ73" s="17">
        <f>SUMIF($C$37:$C$51,$C73,AJ$37:AJ$51)-SUMIF($C$37:$C$51,'Option inputs'!$C$14,AJ$37:AJ$51)*'Option inputs'!$F17*AJ$31+SUMIF($C$53:$C$67,$C73,AJ$53:AJ$67)-SUMIF($C$53:$C$67,'Option inputs'!$C$14,AJ$53:AJ$67)*'Option inputs'!$F17*AJ$31</f>
        <v>0</v>
      </c>
    </row>
    <row r="74" spans="2:41" x14ac:dyDescent="0.35">
      <c r="B74" s="9">
        <f>+'Option inputs'!$B$18</f>
        <v>4</v>
      </c>
      <c r="C74" s="14" t="str">
        <f>+'Option inputs'!$C$18</f>
        <v>Option 1D</v>
      </c>
      <c r="D74" s="25"/>
      <c r="E74" s="12" t="s">
        <v>35</v>
      </c>
      <c r="F74" s="18">
        <f t="shared" si="38"/>
        <v>-50036250.826911874</v>
      </c>
      <c r="G74" s="17">
        <f>SUMIF($C$37:$C$51,$C74,G$37:G$51)-SUMIF($C$37:$C$51,'Option inputs'!$C$14,G$37:G$51)*'Option inputs'!$F18*G$31+SUMIF($C$53:$C$67,$C74,G$53:G$67)-SUMIF($C$53:$C$67,'Option inputs'!$C$14,G$53:G$67)*'Option inputs'!$F18*G$31</f>
        <v>0</v>
      </c>
      <c r="H74" s="17">
        <f>SUMIF($C$37:$C$51,$C74,H$37:H$51)-SUMIF($C$37:$C$51,'Option inputs'!$C$14,H$37:H$51)*'Option inputs'!$F18*H$31+SUMIF($C$53:$C$67,$C74,H$53:H$67)-SUMIF($C$53:$C$67,'Option inputs'!$C$14,H$53:H$67)*'Option inputs'!$F18*H$31</f>
        <v>0</v>
      </c>
      <c r="I74" s="17">
        <f>SUMIF($C$37:$C$51,$C74,I$37:I$51)-SUMIF($C$37:$C$51,'Option inputs'!$C$14,I$37:I$51)*'Option inputs'!$F18*I$31+SUMIF($C$53:$C$67,$C74,I$53:I$67)-SUMIF($C$53:$C$67,'Option inputs'!$C$14,I$53:I$67)*'Option inputs'!$F18*I$31</f>
        <v>-59338634.243838876</v>
      </c>
      <c r="J74" s="17">
        <f>SUMIF($C$37:$C$51,$C74,J$37:J$51)-SUMIF($C$37:$C$51,'Option inputs'!$C$14,J$37:J$51)*'Option inputs'!$F18*J$31+SUMIF($C$53:$C$67,$C74,J$53:J$67)-SUMIF($C$53:$C$67,'Option inputs'!$C$14,J$53:J$67)*'Option inputs'!$F18*J$31</f>
        <v>0</v>
      </c>
      <c r="K74" s="17">
        <f>SUMIF($C$37:$C$51,$C74,K$37:K$51)-SUMIF($C$37:$C$51,'Option inputs'!$C$14,K$37:K$51)*'Option inputs'!$F18*K$31+SUMIF($C$53:$C$67,$C74,K$53:K$67)-SUMIF($C$53:$C$67,'Option inputs'!$C$14,K$53:K$67)*'Option inputs'!$F18*K$31</f>
        <v>0</v>
      </c>
      <c r="L74" s="17">
        <f>SUMIF($C$37:$C$51,$C74,L$37:L$51)-SUMIF($C$37:$C$51,'Option inputs'!$C$14,L$37:L$51)*'Option inputs'!$F18*L$31+SUMIF($C$53:$C$67,$C74,L$53:L$67)-SUMIF($C$53:$C$67,'Option inputs'!$C$14,L$53:L$67)*'Option inputs'!$F18*L$31</f>
        <v>0</v>
      </c>
      <c r="M74" s="17">
        <f>SUMIF($C$37:$C$51,$C74,M$37:M$51)-SUMIF($C$37:$C$51,'Option inputs'!$C$14,M$37:M$51)*'Option inputs'!$F18*M$31+SUMIF($C$53:$C$67,$C74,M$53:M$67)-SUMIF($C$53:$C$67,'Option inputs'!$C$14,M$53:M$67)*'Option inputs'!$F18*M$31</f>
        <v>0</v>
      </c>
      <c r="N74" s="17">
        <f>SUMIF($C$37:$C$51,$C74,N$37:N$51)-SUMIF($C$37:$C$51,'Option inputs'!$C$14,N$37:N$51)*'Option inputs'!$F18*N$31+SUMIF($C$53:$C$67,$C74,N$53:N$67)-SUMIF($C$53:$C$67,'Option inputs'!$C$14,N$53:N$67)*'Option inputs'!$F18*N$31</f>
        <v>0</v>
      </c>
      <c r="O74" s="17">
        <f>SUMIF($C$37:$C$51,$C74,O$37:O$51)-SUMIF($C$37:$C$51,'Option inputs'!$C$14,O$37:O$51)*'Option inputs'!$F18*O$31+SUMIF($C$53:$C$67,$C74,O$53:O$67)-SUMIF($C$53:$C$67,'Option inputs'!$C$14,O$53:O$67)*'Option inputs'!$F18*O$31</f>
        <v>0</v>
      </c>
      <c r="P74" s="17">
        <f>SUMIF($C$37:$C$51,$C74,P$37:P$51)-SUMIF($C$37:$C$51,'Option inputs'!$C$14,P$37:P$51)*'Option inputs'!$F18*P$31+SUMIF($C$53:$C$67,$C74,P$53:P$67)-SUMIF($C$53:$C$67,'Option inputs'!$C$14,P$53:P$67)*'Option inputs'!$F18*P$31</f>
        <v>0</v>
      </c>
      <c r="Q74" s="17">
        <f>SUMIF($C$37:$C$51,$C74,Q$37:Q$51)-SUMIF($C$37:$C$51,'Option inputs'!$C$14,Q$37:Q$51)*'Option inputs'!$F18*Q$31+SUMIF($C$53:$C$67,$C74,Q$53:Q$67)-SUMIF($C$53:$C$67,'Option inputs'!$C$14,Q$53:Q$67)*'Option inputs'!$F18*Q$31</f>
        <v>0</v>
      </c>
      <c r="R74" s="17">
        <f>SUMIF($C$37:$C$51,$C74,R$37:R$51)-SUMIF($C$37:$C$51,'Option inputs'!$C$14,R$37:R$51)*'Option inputs'!$F18*R$31+SUMIF($C$53:$C$67,$C74,R$53:R$67)-SUMIF($C$53:$C$67,'Option inputs'!$C$14,R$53:R$67)*'Option inputs'!$F18*R$31</f>
        <v>0</v>
      </c>
      <c r="S74" s="17">
        <f>SUMIF($C$37:$C$51,$C74,S$37:S$51)-SUMIF($C$37:$C$51,'Option inputs'!$C$14,S$37:S$51)*'Option inputs'!$F18*S$31+SUMIF($C$53:$C$67,$C74,S$53:S$67)-SUMIF($C$53:$C$67,'Option inputs'!$C$14,S$53:S$67)*'Option inputs'!$F18*S$31</f>
        <v>0</v>
      </c>
      <c r="T74" s="17">
        <f>SUMIF($C$37:$C$51,$C74,T$37:T$51)-SUMIF($C$37:$C$51,'Option inputs'!$C$14,T$37:T$51)*'Option inputs'!$F18*T$31+SUMIF($C$53:$C$67,$C74,T$53:T$67)-SUMIF($C$53:$C$67,'Option inputs'!$C$14,T$53:T$67)*'Option inputs'!$F18*T$31</f>
        <v>0</v>
      </c>
      <c r="U74" s="17">
        <f>SUMIF($C$37:$C$51,$C74,U$37:U$51)-SUMIF($C$37:$C$51,'Option inputs'!$C$14,U$37:U$51)*'Option inputs'!$F18*U$31+SUMIF($C$53:$C$67,$C74,U$53:U$67)-SUMIF($C$53:$C$67,'Option inputs'!$C$14,U$53:U$67)*'Option inputs'!$F18*U$31</f>
        <v>0</v>
      </c>
      <c r="V74" s="17">
        <f>SUMIF($C$37:$C$51,$C74,V$37:V$51)-SUMIF($C$37:$C$51,'Option inputs'!$C$14,V$37:V$51)*'Option inputs'!$F18*V$31+SUMIF($C$53:$C$67,$C74,V$53:V$67)-SUMIF($C$53:$C$67,'Option inputs'!$C$14,V$53:V$67)*'Option inputs'!$F18*V$31</f>
        <v>0</v>
      </c>
      <c r="W74" s="17">
        <f>SUMIF($C$37:$C$51,$C74,W$37:W$51)-SUMIF($C$37:$C$51,'Option inputs'!$C$14,W$37:W$51)*'Option inputs'!$F18*W$31+SUMIF($C$53:$C$67,$C74,W$53:W$67)-SUMIF($C$53:$C$67,'Option inputs'!$C$14,W$53:W$67)*'Option inputs'!$F18*W$31</f>
        <v>0</v>
      </c>
      <c r="X74" s="17">
        <f>SUMIF($C$37:$C$51,$C74,X$37:X$51)-SUMIF($C$37:$C$51,'Option inputs'!$C$14,X$37:X$51)*'Option inputs'!$F18*X$31+SUMIF($C$53:$C$67,$C74,X$53:X$67)-SUMIF($C$53:$C$67,'Option inputs'!$C$14,X$53:X$67)*'Option inputs'!$F18*X$31</f>
        <v>0</v>
      </c>
      <c r="Y74" s="17">
        <f>SUMIF($C$37:$C$51,$C74,Y$37:Y$51)-SUMIF($C$37:$C$51,'Option inputs'!$C$14,Y$37:Y$51)*'Option inputs'!$F18*Y$31+SUMIF($C$53:$C$67,$C74,Y$53:Y$67)-SUMIF($C$53:$C$67,'Option inputs'!$C$14,Y$53:Y$67)*'Option inputs'!$F18*Y$31</f>
        <v>0</v>
      </c>
      <c r="Z74" s="17">
        <f>SUMIF($C$37:$C$51,$C74,Z$37:Z$51)-SUMIF($C$37:$C$51,'Option inputs'!$C$14,Z$37:Z$51)*'Option inputs'!$F18*Z$31+SUMIF($C$53:$C$67,$C74,Z$53:Z$67)-SUMIF($C$53:$C$67,'Option inputs'!$C$14,Z$53:Z$67)*'Option inputs'!$F18*Z$31</f>
        <v>0</v>
      </c>
      <c r="AA74" s="17">
        <f>SUMIF($C$37:$C$51,$C74,AA$37:AA$51)-SUMIF($C$37:$C$51,'Option inputs'!$C$14,AA$37:AA$51)*'Option inputs'!$F18*AA$31+SUMIF($C$53:$C$67,$C74,AA$53:AA$67)-SUMIF($C$53:$C$67,'Option inputs'!$C$14,AA$53:AA$67)*'Option inputs'!$F18*AA$31</f>
        <v>0</v>
      </c>
      <c r="AB74" s="17">
        <f>SUMIF($C$37:$C$51,$C74,AB$37:AB$51)-SUMIF($C$37:$C$51,'Option inputs'!$C$14,AB$37:AB$51)*'Option inputs'!$F18*AB$31+SUMIF($C$53:$C$67,$C74,AB$53:AB$67)-SUMIF($C$53:$C$67,'Option inputs'!$C$14,AB$53:AB$67)*'Option inputs'!$F18*AB$31</f>
        <v>0</v>
      </c>
      <c r="AC74" s="17">
        <f>SUMIF($C$37:$C$51,$C74,AC$37:AC$51)-SUMIF($C$37:$C$51,'Option inputs'!$C$14,AC$37:AC$51)*'Option inputs'!$F18*AC$31+SUMIF($C$53:$C$67,$C74,AC$53:AC$67)-SUMIF($C$53:$C$67,'Option inputs'!$C$14,AC$53:AC$67)*'Option inputs'!$F18*AC$31</f>
        <v>0</v>
      </c>
      <c r="AD74" s="17">
        <f>SUMIF($C$37:$C$51,$C74,AD$37:AD$51)-SUMIF($C$37:$C$51,'Option inputs'!$C$14,AD$37:AD$51)*'Option inputs'!$F18*AD$31+SUMIF($C$53:$C$67,$C74,AD$53:AD$67)-SUMIF($C$53:$C$67,'Option inputs'!$C$14,AD$53:AD$67)*'Option inputs'!$F18*AD$31</f>
        <v>0</v>
      </c>
      <c r="AE74" s="17">
        <f>SUMIF($C$37:$C$51,$C74,AE$37:AE$51)-SUMIF($C$37:$C$51,'Option inputs'!$C$14,AE$37:AE$51)*'Option inputs'!$F18*AE$31+SUMIF($C$53:$C$67,$C74,AE$53:AE$67)-SUMIF($C$53:$C$67,'Option inputs'!$C$14,AE$53:AE$67)*'Option inputs'!$F18*AE$31</f>
        <v>0</v>
      </c>
      <c r="AF74" s="17">
        <f>SUMIF($C$37:$C$51,$C74,AF$37:AF$51)-SUMIF($C$37:$C$51,'Option inputs'!$C$14,AF$37:AF$51)*'Option inputs'!$F18*AF$31+SUMIF($C$53:$C$67,$C74,AF$53:AF$67)-SUMIF($C$53:$C$67,'Option inputs'!$C$14,AF$53:AF$67)*'Option inputs'!$F18*AF$31</f>
        <v>23735453.697535545</v>
      </c>
      <c r="AG74" s="17">
        <f>SUMIF($C$37:$C$51,$C74,AG$37:AG$51)-SUMIF($C$37:$C$51,'Option inputs'!$C$14,AG$37:AG$51)*'Option inputs'!$F18*AG$31+SUMIF($C$53:$C$67,$C74,AG$53:AG$67)-SUMIF($C$53:$C$67,'Option inputs'!$C$14,AG$53:AG$67)*'Option inputs'!$F18*AG$31</f>
        <v>0</v>
      </c>
      <c r="AH74" s="17">
        <f>SUMIF($C$37:$C$51,$C74,AH$37:AH$51)-SUMIF($C$37:$C$51,'Option inputs'!$C$14,AH$37:AH$51)*'Option inputs'!$F18*AH$31+SUMIF($C$53:$C$67,$C74,AH$53:AH$67)-SUMIF($C$53:$C$67,'Option inputs'!$C$14,AH$53:AH$67)*'Option inputs'!$F18*AH$31</f>
        <v>0</v>
      </c>
      <c r="AI74" s="17">
        <f>SUMIF($C$37:$C$51,$C74,AI$37:AI$51)-SUMIF($C$37:$C$51,'Option inputs'!$C$14,AI$37:AI$51)*'Option inputs'!$F18*AI$31+SUMIF($C$53:$C$67,$C74,AI$53:AI$67)-SUMIF($C$53:$C$67,'Option inputs'!$C$14,AI$53:AI$67)*'Option inputs'!$F18*AI$31</f>
        <v>0</v>
      </c>
      <c r="AJ74" s="17">
        <f>SUMIF($C$37:$C$51,$C74,AJ$37:AJ$51)-SUMIF($C$37:$C$51,'Option inputs'!$C$14,AJ$37:AJ$51)*'Option inputs'!$F18*AJ$31+SUMIF($C$53:$C$67,$C74,AJ$53:AJ$67)-SUMIF($C$53:$C$67,'Option inputs'!$C$14,AJ$53:AJ$67)*'Option inputs'!$F18*AJ$31</f>
        <v>0</v>
      </c>
    </row>
    <row r="76" spans="2:41" x14ac:dyDescent="0.35">
      <c r="B76" s="5" t="str">
        <f>+'CBA Inputs'!B31</f>
        <v>Operating and maintenance cost</v>
      </c>
      <c r="C76" s="27"/>
      <c r="D76" s="27"/>
      <c r="E76" s="11"/>
      <c r="F76" s="11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2:41" x14ac:dyDescent="0.35">
      <c r="B77" s="7" t="s">
        <v>14</v>
      </c>
      <c r="C77" s="10" t="s">
        <v>13</v>
      </c>
      <c r="D77" s="10"/>
      <c r="E77" s="8" t="s">
        <v>22</v>
      </c>
      <c r="F77" s="8" t="s">
        <v>37</v>
      </c>
      <c r="G77" s="13" t="str">
        <f>G$32</f>
        <v>FY 2019-20</v>
      </c>
      <c r="H77" s="13" t="str">
        <f t="shared" ref="H77:AJ77" si="39">H$32</f>
        <v>FY 2020-21</v>
      </c>
      <c r="I77" s="13" t="str">
        <f t="shared" si="39"/>
        <v>FY 2021-22</v>
      </c>
      <c r="J77" s="13" t="str">
        <f t="shared" si="39"/>
        <v>FY 2022-23</v>
      </c>
      <c r="K77" s="13" t="str">
        <f t="shared" si="39"/>
        <v>FY 2023-24</v>
      </c>
      <c r="L77" s="13" t="str">
        <f t="shared" si="39"/>
        <v>FY 2024-25</v>
      </c>
      <c r="M77" s="13" t="str">
        <f t="shared" si="39"/>
        <v>FY 2025-26</v>
      </c>
      <c r="N77" s="13" t="str">
        <f t="shared" si="39"/>
        <v>FY 2026-27</v>
      </c>
      <c r="O77" s="13" t="str">
        <f t="shared" si="39"/>
        <v>FY 2027-28</v>
      </c>
      <c r="P77" s="13" t="str">
        <f t="shared" si="39"/>
        <v>FY 2028-29</v>
      </c>
      <c r="Q77" s="13" t="str">
        <f t="shared" si="39"/>
        <v>FY 2029-30</v>
      </c>
      <c r="R77" s="13" t="str">
        <f t="shared" si="39"/>
        <v>FY 2030-31</v>
      </c>
      <c r="S77" s="13" t="str">
        <f t="shared" si="39"/>
        <v>FY 2031-32</v>
      </c>
      <c r="T77" s="13" t="str">
        <f t="shared" si="39"/>
        <v>FY 2032-33</v>
      </c>
      <c r="U77" s="13" t="str">
        <f t="shared" si="39"/>
        <v>FY 2033-34</v>
      </c>
      <c r="V77" s="13" t="str">
        <f t="shared" si="39"/>
        <v>FY 2034-35</v>
      </c>
      <c r="W77" s="13" t="str">
        <f t="shared" si="39"/>
        <v>FY 2035-36</v>
      </c>
      <c r="X77" s="13" t="str">
        <f t="shared" si="39"/>
        <v>FY 2036-37</v>
      </c>
      <c r="Y77" s="13" t="str">
        <f t="shared" si="39"/>
        <v>FY 2037-38</v>
      </c>
      <c r="Z77" s="13" t="str">
        <f t="shared" si="39"/>
        <v>FY 2038-39</v>
      </c>
      <c r="AA77" s="13" t="str">
        <f t="shared" si="39"/>
        <v>FY 2039-40</v>
      </c>
      <c r="AB77" s="13" t="str">
        <f t="shared" si="39"/>
        <v>FY 2040-41</v>
      </c>
      <c r="AC77" s="13" t="str">
        <f t="shared" si="39"/>
        <v>FY 2041-42</v>
      </c>
      <c r="AD77" s="13" t="str">
        <f t="shared" si="39"/>
        <v>FY 2042-43</v>
      </c>
      <c r="AE77" s="13" t="str">
        <f t="shared" si="39"/>
        <v>FY 2043-44</v>
      </c>
      <c r="AF77" s="13" t="str">
        <f t="shared" si="39"/>
        <v>FY 2044-45</v>
      </c>
      <c r="AG77" s="13" t="str">
        <f t="shared" si="39"/>
        <v>FY 2045-46</v>
      </c>
      <c r="AH77" s="13" t="str">
        <f t="shared" si="39"/>
        <v>FY 2046-47</v>
      </c>
      <c r="AI77" s="13" t="str">
        <f t="shared" si="39"/>
        <v>FY 2047-48</v>
      </c>
      <c r="AJ77" s="13" t="str">
        <f t="shared" si="39"/>
        <v>FY 2048-49</v>
      </c>
    </row>
    <row r="78" spans="2:41" x14ac:dyDescent="0.35">
      <c r="B78" s="9">
        <f>+'Option inputs'!$B$15</f>
        <v>1</v>
      </c>
      <c r="C78" s="14" t="str">
        <f>+'Option inputs'!$C$15</f>
        <v>Option 1A</v>
      </c>
      <c r="D78" s="25"/>
      <c r="E78" s="12" t="s">
        <v>35</v>
      </c>
      <c r="F78" s="18">
        <f t="shared" ref="F78:F81" si="40">NPV(DiscountRate_ACTIVE,G78:AJ78)/(1+DiscountRate_ACTIVE)^(FirstYear-BaseYear-2)</f>
        <v>-30335839.345870502</v>
      </c>
      <c r="G78" s="17">
        <f>+('CBA Inputs'!F$33-'CBA Inputs'!F34)*'CBA Inputs'!$J$13*IF(G$77=0,0,1)*'Option inputs'!$F15*G$31</f>
        <v>0</v>
      </c>
      <c r="H78" s="17">
        <f>+('CBA Inputs'!G$33-'CBA Inputs'!G34)*'CBA Inputs'!$J$13*IF(H$77=0,0,1)*'Option inputs'!$F15*H$31</f>
        <v>0</v>
      </c>
      <c r="I78" s="17">
        <f>+('CBA Inputs'!H$33-'CBA Inputs'!H34)*'CBA Inputs'!$J$13*IF(I$77=0,0,1)*'Option inputs'!$F15*I$31</f>
        <v>0</v>
      </c>
      <c r="J78" s="17">
        <f>+('CBA Inputs'!I$33-'CBA Inputs'!I34)*'CBA Inputs'!$J$13*IF(J$77=0,0,1)*'Option inputs'!$F15*J$31</f>
        <v>-2300100</v>
      </c>
      <c r="K78" s="17">
        <f>+('CBA Inputs'!J$33-'CBA Inputs'!J34)*'CBA Inputs'!$J$13*IF(K$77=0,0,1)*'Option inputs'!$F15*K$31</f>
        <v>-2300100</v>
      </c>
      <c r="L78" s="17">
        <f>+('CBA Inputs'!K$33-'CBA Inputs'!K34)*'CBA Inputs'!$J$13*IF(L$77=0,0,1)*'Option inputs'!$F15*L$31</f>
        <v>-2300100</v>
      </c>
      <c r="M78" s="17">
        <f>+('CBA Inputs'!L$33-'CBA Inputs'!L34)*'CBA Inputs'!$J$13*IF(M$77=0,0,1)*'Option inputs'!$F15*M$31</f>
        <v>-2300100</v>
      </c>
      <c r="N78" s="17">
        <f>+('CBA Inputs'!M$33-'CBA Inputs'!M34)*'CBA Inputs'!$J$13*IF(N$77=0,0,1)*'Option inputs'!$F15*N$31</f>
        <v>-2300100</v>
      </c>
      <c r="O78" s="17">
        <f>+('CBA Inputs'!N$33-'CBA Inputs'!N34)*'CBA Inputs'!$J$13*IF(O$77=0,0,1)*'Option inputs'!$F15*O$31</f>
        <v>-2300100</v>
      </c>
      <c r="P78" s="17">
        <f>+('CBA Inputs'!O$33-'CBA Inputs'!O34)*'CBA Inputs'!$J$13*IF(P$77=0,0,1)*'Option inputs'!$F15*P$31</f>
        <v>-2300100</v>
      </c>
      <c r="Q78" s="17">
        <f>+('CBA Inputs'!P$33-'CBA Inputs'!P34)*'CBA Inputs'!$J$13*IF(Q$77=0,0,1)*'Option inputs'!$F15*Q$31</f>
        <v>-2300100</v>
      </c>
      <c r="R78" s="17">
        <f>+('CBA Inputs'!Q$33-'CBA Inputs'!Q34)*'CBA Inputs'!$J$13*IF(R$77=0,0,1)*'Option inputs'!$F15*R$31</f>
        <v>-2300100</v>
      </c>
      <c r="S78" s="17">
        <f>+('CBA Inputs'!R$33-'CBA Inputs'!R34)*'CBA Inputs'!$J$13*IF(S$77=0,0,1)*'Option inputs'!$F15*S$31</f>
        <v>-2300100</v>
      </c>
      <c r="T78" s="17">
        <f>+('CBA Inputs'!S$33-'CBA Inputs'!S34)*'CBA Inputs'!$J$13*IF(T$77=0,0,1)*'Option inputs'!$F15*T$31</f>
        <v>-2300100</v>
      </c>
      <c r="U78" s="17">
        <f>+('CBA Inputs'!T$33-'CBA Inputs'!T34)*'CBA Inputs'!$J$13*IF(U$77=0,0,1)*'Option inputs'!$F15*U$31</f>
        <v>-2300100</v>
      </c>
      <c r="V78" s="17">
        <f>+('CBA Inputs'!U$33-'CBA Inputs'!U34)*'CBA Inputs'!$J$13*IF(V$77=0,0,1)*'Option inputs'!$F15*V$31</f>
        <v>-2300100</v>
      </c>
      <c r="W78" s="17">
        <f>+('CBA Inputs'!V$33-'CBA Inputs'!V34)*'CBA Inputs'!$J$13*IF(W$77=0,0,1)*'Option inputs'!$F15*W$31</f>
        <v>-2300100</v>
      </c>
      <c r="X78" s="17">
        <f>+('CBA Inputs'!W$33-'CBA Inputs'!W34)*'CBA Inputs'!$J$13*IF(X$77=0,0,1)*'Option inputs'!$F15*X$31</f>
        <v>-10700100</v>
      </c>
      <c r="Y78" s="17">
        <f>+('CBA Inputs'!X$33-'CBA Inputs'!X34)*'CBA Inputs'!$J$13*IF(Y$77=0,0,1)*'Option inputs'!$F15*Y$31</f>
        <v>-2340100</v>
      </c>
      <c r="Z78" s="17">
        <f>+('CBA Inputs'!Y$33-'CBA Inputs'!Y34)*'CBA Inputs'!$J$13*IF(Z$77=0,0,1)*'Option inputs'!$F15*Z$31</f>
        <v>-2300100</v>
      </c>
      <c r="AA78" s="17">
        <f>+('CBA Inputs'!Z$33-'CBA Inputs'!Z34)*'CBA Inputs'!$J$13*IF(AA$77=0,0,1)*'Option inputs'!$F15*AA$31</f>
        <v>-2300100</v>
      </c>
      <c r="AB78" s="17">
        <f>+('CBA Inputs'!AA$33-'CBA Inputs'!AA34)*'CBA Inputs'!$J$13*IF(AB$77=0,0,1)*'Option inputs'!$F15*AB$31</f>
        <v>-2300100</v>
      </c>
      <c r="AC78" s="17">
        <f>+('CBA Inputs'!AB$33-'CBA Inputs'!AB34)*'CBA Inputs'!$J$13*IF(AC$77=0,0,1)*'Option inputs'!$F15*AC$31</f>
        <v>-2300100</v>
      </c>
      <c r="AD78" s="17">
        <f>+('CBA Inputs'!AC$33-'CBA Inputs'!AC34)*'CBA Inputs'!$J$13*IF(AD$77=0,0,1)*'Option inputs'!$F15*AD$31</f>
        <v>-2300100</v>
      </c>
      <c r="AE78" s="17">
        <f>+('CBA Inputs'!AD$33-'CBA Inputs'!AD34)*'CBA Inputs'!$J$13*IF(AE$77=0,0,1)*'Option inputs'!$F15*AE$31</f>
        <v>-2300100</v>
      </c>
      <c r="AF78" s="17">
        <f>+('CBA Inputs'!AE$33-'CBA Inputs'!AE34)*'CBA Inputs'!$J$13*IF(AF$77=0,0,1)*'Option inputs'!$F15*AF$31</f>
        <v>-2300100</v>
      </c>
      <c r="AG78" s="17">
        <f>+('CBA Inputs'!AF$33-'CBA Inputs'!AF34)*'CBA Inputs'!$J$13*IF(AG$77=0,0,1)*'Option inputs'!$F15*AG$31</f>
        <v>0</v>
      </c>
      <c r="AH78" s="17">
        <f>+('CBA Inputs'!AG$33-'CBA Inputs'!AG34)*'CBA Inputs'!$J$13*IF(AH$77=0,0,1)*'Option inputs'!$F15*AH$31</f>
        <v>0</v>
      </c>
      <c r="AI78" s="17">
        <f>+('CBA Inputs'!AH$33-'CBA Inputs'!AH34)*'CBA Inputs'!$J$13*IF(AI$77=0,0,1)*'Option inputs'!$F15*AI$31</f>
        <v>0</v>
      </c>
      <c r="AJ78" s="17">
        <f>+('CBA Inputs'!AI$33-'CBA Inputs'!AI34)*'CBA Inputs'!$J$13*IF(AJ$77=0,0,1)*'Option inputs'!$F15*AJ$31</f>
        <v>0</v>
      </c>
    </row>
    <row r="79" spans="2:41" x14ac:dyDescent="0.35">
      <c r="B79" s="9">
        <f>+'Option inputs'!$B$16</f>
        <v>2</v>
      </c>
      <c r="C79" s="14" t="str">
        <f>+'Option inputs'!$C$16</f>
        <v>Option 1B</v>
      </c>
      <c r="D79" s="25"/>
      <c r="E79" s="12" t="s">
        <v>35</v>
      </c>
      <c r="F79" s="18">
        <f t="shared" si="40"/>
        <v>-5074964.4631871413</v>
      </c>
      <c r="G79" s="17">
        <f>+('CBA Inputs'!F$33-'CBA Inputs'!F35)*'CBA Inputs'!$J$13*IF(G$77=0,0,1)*'Option inputs'!$F16*G$31</f>
        <v>0</v>
      </c>
      <c r="H79" s="17">
        <f>+('CBA Inputs'!G$33-'CBA Inputs'!G35)*'CBA Inputs'!$J$13*IF(H$77=0,0,1)*'Option inputs'!$F16*H$31</f>
        <v>0</v>
      </c>
      <c r="I79" s="17">
        <f>+('CBA Inputs'!H$33-'CBA Inputs'!H35)*'CBA Inputs'!$J$13*IF(I$77=0,0,1)*'Option inputs'!$F16*I$31</f>
        <v>0</v>
      </c>
      <c r="J79" s="17">
        <f>+('CBA Inputs'!I$33-'CBA Inputs'!I35)*'CBA Inputs'!$J$13*IF(J$77=0,0,1)*'Option inputs'!$F16*J$31</f>
        <v>-432910.97579387005</v>
      </c>
      <c r="K79" s="17">
        <f>+('CBA Inputs'!J$33-'CBA Inputs'!J35)*'CBA Inputs'!$J$13*IF(K$77=0,0,1)*'Option inputs'!$F16*K$31</f>
        <v>-432910.97579387005</v>
      </c>
      <c r="L79" s="17">
        <f>+('CBA Inputs'!K$33-'CBA Inputs'!K35)*'CBA Inputs'!$J$13*IF(L$77=0,0,1)*'Option inputs'!$F16*L$31</f>
        <v>-432910.97579387005</v>
      </c>
      <c r="M79" s="17">
        <f>+('CBA Inputs'!L$33-'CBA Inputs'!L35)*'CBA Inputs'!$J$13*IF(M$77=0,0,1)*'Option inputs'!$F16*M$31</f>
        <v>-432910.97579387005</v>
      </c>
      <c r="N79" s="17">
        <f>+('CBA Inputs'!M$33-'CBA Inputs'!M35)*'CBA Inputs'!$J$13*IF(N$77=0,0,1)*'Option inputs'!$F16*N$31</f>
        <v>-432910.97579387005</v>
      </c>
      <c r="O79" s="17">
        <f>+('CBA Inputs'!N$33-'CBA Inputs'!N35)*'CBA Inputs'!$J$13*IF(O$77=0,0,1)*'Option inputs'!$F16*O$31</f>
        <v>-432910.97579387005</v>
      </c>
      <c r="P79" s="17">
        <f>+('CBA Inputs'!O$33-'CBA Inputs'!O35)*'CBA Inputs'!$J$13*IF(P$77=0,0,1)*'Option inputs'!$F16*P$31</f>
        <v>-432910.97579387005</v>
      </c>
      <c r="Q79" s="17">
        <f>+('CBA Inputs'!P$33-'CBA Inputs'!P35)*'CBA Inputs'!$J$13*IF(Q$77=0,0,1)*'Option inputs'!$F16*Q$31</f>
        <v>-432910.97579387005</v>
      </c>
      <c r="R79" s="17">
        <f>+('CBA Inputs'!Q$33-'CBA Inputs'!Q35)*'CBA Inputs'!$J$13*IF(R$77=0,0,1)*'Option inputs'!$F16*R$31</f>
        <v>-432910.97579387005</v>
      </c>
      <c r="S79" s="17">
        <f>+('CBA Inputs'!R$33-'CBA Inputs'!R35)*'CBA Inputs'!$J$13*IF(S$77=0,0,1)*'Option inputs'!$F16*S$31</f>
        <v>-432910.97579387005</v>
      </c>
      <c r="T79" s="17">
        <f>+('CBA Inputs'!S$33-'CBA Inputs'!S35)*'CBA Inputs'!$J$13*IF(T$77=0,0,1)*'Option inputs'!$F16*T$31</f>
        <v>-432910.97579387005</v>
      </c>
      <c r="U79" s="17">
        <f>+('CBA Inputs'!T$33-'CBA Inputs'!T35)*'CBA Inputs'!$J$13*IF(U$77=0,0,1)*'Option inputs'!$F16*U$31</f>
        <v>-432910.97579387005</v>
      </c>
      <c r="V79" s="17">
        <f>+('CBA Inputs'!U$33-'CBA Inputs'!U35)*'CBA Inputs'!$J$13*IF(V$77=0,0,1)*'Option inputs'!$F16*V$31</f>
        <v>-432910.97579387005</v>
      </c>
      <c r="W79" s="17">
        <f>+('CBA Inputs'!V$33-'CBA Inputs'!V35)*'CBA Inputs'!$J$13*IF(W$77=0,0,1)*'Option inputs'!$F16*W$31</f>
        <v>-432910.97579387005</v>
      </c>
      <c r="X79" s="17">
        <f>+('CBA Inputs'!W$33-'CBA Inputs'!W35)*'CBA Inputs'!$J$13*IF(X$77=0,0,1)*'Option inputs'!$F16*X$31</f>
        <v>-432910.97579387005</v>
      </c>
      <c r="Y79" s="17">
        <f>+('CBA Inputs'!X$33-'CBA Inputs'!X35)*'CBA Inputs'!$J$13*IF(Y$77=0,0,1)*'Option inputs'!$F16*Y$31</f>
        <v>-432910.97579387005</v>
      </c>
      <c r="Z79" s="17">
        <f>+('CBA Inputs'!Y$33-'CBA Inputs'!Y35)*'CBA Inputs'!$J$13*IF(Z$77=0,0,1)*'Option inputs'!$F16*Z$31</f>
        <v>-432910.97579387005</v>
      </c>
      <c r="AA79" s="17">
        <f>+('CBA Inputs'!Z$33-'CBA Inputs'!Z35)*'CBA Inputs'!$J$13*IF(AA$77=0,0,1)*'Option inputs'!$F16*AA$31</f>
        <v>-432910.97579387005</v>
      </c>
      <c r="AB79" s="17">
        <f>+('CBA Inputs'!AA$33-'CBA Inputs'!AA35)*'CBA Inputs'!$J$13*IF(AB$77=0,0,1)*'Option inputs'!$F16*AB$31</f>
        <v>-432910.97579387005</v>
      </c>
      <c r="AC79" s="17">
        <f>+('CBA Inputs'!AB$33-'CBA Inputs'!AB35)*'CBA Inputs'!$J$13*IF(AC$77=0,0,1)*'Option inputs'!$F16*AC$31</f>
        <v>-432910.97579387005</v>
      </c>
      <c r="AD79" s="17">
        <f>+('CBA Inputs'!AC$33-'CBA Inputs'!AC35)*'CBA Inputs'!$J$13*IF(AD$77=0,0,1)*'Option inputs'!$F16*AD$31</f>
        <v>-432910.97579387005</v>
      </c>
      <c r="AE79" s="17">
        <f>+('CBA Inputs'!AD$33-'CBA Inputs'!AD35)*'CBA Inputs'!$J$13*IF(AE$77=0,0,1)*'Option inputs'!$F16*AE$31</f>
        <v>-432910.97579387005</v>
      </c>
      <c r="AF79" s="17">
        <f>+('CBA Inputs'!AE$33-'CBA Inputs'!AE35)*'CBA Inputs'!$J$13*IF(AF$77=0,0,1)*'Option inputs'!$F16*AF$31</f>
        <v>-432910.97579387005</v>
      </c>
      <c r="AG79" s="17">
        <f>+('CBA Inputs'!AF$33-'CBA Inputs'!AF35)*'CBA Inputs'!$J$13*IF(AG$77=0,0,1)*'Option inputs'!$F16*AG$31</f>
        <v>0</v>
      </c>
      <c r="AH79" s="17">
        <f>+('CBA Inputs'!AG$33-'CBA Inputs'!AG35)*'CBA Inputs'!$J$13*IF(AH$77=0,0,1)*'Option inputs'!$F16*AH$31</f>
        <v>0</v>
      </c>
      <c r="AI79" s="17">
        <f>+('CBA Inputs'!AH$33-'CBA Inputs'!AH35)*'CBA Inputs'!$J$13*IF(AI$77=0,0,1)*'Option inputs'!$F16*AI$31</f>
        <v>0</v>
      </c>
      <c r="AJ79" s="17">
        <f>+('CBA Inputs'!AI$33-'CBA Inputs'!AI35)*'CBA Inputs'!$J$13*IF(AJ$77=0,0,1)*'Option inputs'!$F16*AJ$31</f>
        <v>0</v>
      </c>
    </row>
    <row r="80" spans="2:41" x14ac:dyDescent="0.35">
      <c r="B80" s="9">
        <f>+'Option inputs'!$B$17</f>
        <v>3</v>
      </c>
      <c r="C80" s="14" t="str">
        <f>+'Option inputs'!$C$17</f>
        <v>Option 1C</v>
      </c>
      <c r="D80" s="25"/>
      <c r="E80" s="12" t="s">
        <v>35</v>
      </c>
      <c r="F80" s="18">
        <f t="shared" si="40"/>
        <v>-25260874.882683363</v>
      </c>
      <c r="G80" s="17">
        <f>+('CBA Inputs'!F$33-'CBA Inputs'!F36)*'CBA Inputs'!$J$13*IF(G$77=0,0,1)*'Option inputs'!$F17*G$31</f>
        <v>0</v>
      </c>
      <c r="H80" s="17">
        <f>+('CBA Inputs'!G$33-'CBA Inputs'!G36)*'CBA Inputs'!$J$13*IF(H$77=0,0,1)*'Option inputs'!$F17*H$31</f>
        <v>0</v>
      </c>
      <c r="I80" s="17">
        <f>+('CBA Inputs'!H$33-'CBA Inputs'!H36)*'CBA Inputs'!$J$13*IF(I$77=0,0,1)*'Option inputs'!$F17*I$31</f>
        <v>0</v>
      </c>
      <c r="J80" s="17">
        <f>+('CBA Inputs'!I$33-'CBA Inputs'!I36)*'CBA Inputs'!$J$13*IF(J$77=0,0,1)*'Option inputs'!$F17*J$31</f>
        <v>-1867189.0242061298</v>
      </c>
      <c r="K80" s="17">
        <f>+('CBA Inputs'!J$33-'CBA Inputs'!J36)*'CBA Inputs'!$J$13*IF(K$77=0,0,1)*'Option inputs'!$F17*K$31</f>
        <v>-1867189.0242061298</v>
      </c>
      <c r="L80" s="17">
        <f>+('CBA Inputs'!K$33-'CBA Inputs'!K36)*'CBA Inputs'!$J$13*IF(L$77=0,0,1)*'Option inputs'!$F17*L$31</f>
        <v>-1867189.0242061298</v>
      </c>
      <c r="M80" s="17">
        <f>+('CBA Inputs'!L$33-'CBA Inputs'!L36)*'CBA Inputs'!$J$13*IF(M$77=0,0,1)*'Option inputs'!$F17*M$31</f>
        <v>-1867189.0242061298</v>
      </c>
      <c r="N80" s="17">
        <f>+('CBA Inputs'!M$33-'CBA Inputs'!M36)*'CBA Inputs'!$J$13*IF(N$77=0,0,1)*'Option inputs'!$F17*N$31</f>
        <v>-1867189.0242061298</v>
      </c>
      <c r="O80" s="17">
        <f>+('CBA Inputs'!N$33-'CBA Inputs'!N36)*'CBA Inputs'!$J$13*IF(O$77=0,0,1)*'Option inputs'!$F17*O$31</f>
        <v>-1867189.0242061298</v>
      </c>
      <c r="P80" s="17">
        <f>+('CBA Inputs'!O$33-'CBA Inputs'!O36)*'CBA Inputs'!$J$13*IF(P$77=0,0,1)*'Option inputs'!$F17*P$31</f>
        <v>-1867189.0242061298</v>
      </c>
      <c r="Q80" s="17">
        <f>+('CBA Inputs'!P$33-'CBA Inputs'!P36)*'CBA Inputs'!$J$13*IF(Q$77=0,0,1)*'Option inputs'!$F17*Q$31</f>
        <v>-1867189.0242061298</v>
      </c>
      <c r="R80" s="17">
        <f>+('CBA Inputs'!Q$33-'CBA Inputs'!Q36)*'CBA Inputs'!$J$13*IF(R$77=0,0,1)*'Option inputs'!$F17*R$31</f>
        <v>-1867189.0242061298</v>
      </c>
      <c r="S80" s="17">
        <f>+('CBA Inputs'!R$33-'CBA Inputs'!R36)*'CBA Inputs'!$J$13*IF(S$77=0,0,1)*'Option inputs'!$F17*S$31</f>
        <v>-1867189.0242061298</v>
      </c>
      <c r="T80" s="17">
        <f>+('CBA Inputs'!S$33-'CBA Inputs'!S36)*'CBA Inputs'!$J$13*IF(T$77=0,0,1)*'Option inputs'!$F17*T$31</f>
        <v>-1867189.0242061298</v>
      </c>
      <c r="U80" s="17">
        <f>+('CBA Inputs'!T$33-'CBA Inputs'!T36)*'CBA Inputs'!$J$13*IF(U$77=0,0,1)*'Option inputs'!$F17*U$31</f>
        <v>-1867189.0242061298</v>
      </c>
      <c r="V80" s="17">
        <f>+('CBA Inputs'!U$33-'CBA Inputs'!U36)*'CBA Inputs'!$J$13*IF(V$77=0,0,1)*'Option inputs'!$F17*V$31</f>
        <v>-1867189.0242061298</v>
      </c>
      <c r="W80" s="17">
        <f>+('CBA Inputs'!V$33-'CBA Inputs'!V36)*'CBA Inputs'!$J$13*IF(W$77=0,0,1)*'Option inputs'!$F17*W$31</f>
        <v>-1867189.0242061298</v>
      </c>
      <c r="X80" s="17">
        <f>+('CBA Inputs'!W$33-'CBA Inputs'!W36)*'CBA Inputs'!$J$13*IF(X$77=0,0,1)*'Option inputs'!$F17*X$31</f>
        <v>-10267189.02420613</v>
      </c>
      <c r="Y80" s="17">
        <f>+('CBA Inputs'!X$33-'CBA Inputs'!X36)*'CBA Inputs'!$J$13*IF(Y$77=0,0,1)*'Option inputs'!$F17*Y$31</f>
        <v>-1907189.0242061298</v>
      </c>
      <c r="Z80" s="17">
        <f>+('CBA Inputs'!Y$33-'CBA Inputs'!Y36)*'CBA Inputs'!$J$13*IF(Z$77=0,0,1)*'Option inputs'!$F17*Z$31</f>
        <v>-1867189.0242061298</v>
      </c>
      <c r="AA80" s="17">
        <f>+('CBA Inputs'!Z$33-'CBA Inputs'!Z36)*'CBA Inputs'!$J$13*IF(AA$77=0,0,1)*'Option inputs'!$F17*AA$31</f>
        <v>-1867189.0242061298</v>
      </c>
      <c r="AB80" s="17">
        <f>+('CBA Inputs'!AA$33-'CBA Inputs'!AA36)*'CBA Inputs'!$J$13*IF(AB$77=0,0,1)*'Option inputs'!$F17*AB$31</f>
        <v>-1867189.0242061298</v>
      </c>
      <c r="AC80" s="17">
        <f>+('CBA Inputs'!AB$33-'CBA Inputs'!AB36)*'CBA Inputs'!$J$13*IF(AC$77=0,0,1)*'Option inputs'!$F17*AC$31</f>
        <v>-1867189.0242061298</v>
      </c>
      <c r="AD80" s="17">
        <f>+('CBA Inputs'!AC$33-'CBA Inputs'!AC36)*'CBA Inputs'!$J$13*IF(AD$77=0,0,1)*'Option inputs'!$F17*AD$31</f>
        <v>-1867189.0242061298</v>
      </c>
      <c r="AE80" s="17">
        <f>+('CBA Inputs'!AD$33-'CBA Inputs'!AD36)*'CBA Inputs'!$J$13*IF(AE$77=0,0,1)*'Option inputs'!$F17*AE$31</f>
        <v>-1867189.0242061298</v>
      </c>
      <c r="AF80" s="17">
        <f>+('CBA Inputs'!AE$33-'CBA Inputs'!AE36)*'CBA Inputs'!$J$13*IF(AF$77=0,0,1)*'Option inputs'!$F17*AF$31</f>
        <v>-1867189.0242061298</v>
      </c>
      <c r="AG80" s="17">
        <f>+('CBA Inputs'!AF$33-'CBA Inputs'!AF36)*'CBA Inputs'!$J$13*IF(AG$77=0,0,1)*'Option inputs'!$F17*AG$31</f>
        <v>0</v>
      </c>
      <c r="AH80" s="17">
        <f>+('CBA Inputs'!AG$33-'CBA Inputs'!AG36)*'CBA Inputs'!$J$13*IF(AH$77=0,0,1)*'Option inputs'!$F17*AH$31</f>
        <v>0</v>
      </c>
      <c r="AI80" s="17">
        <f>+('CBA Inputs'!AH$33-'CBA Inputs'!AH36)*'CBA Inputs'!$J$13*IF(AI$77=0,0,1)*'Option inputs'!$F17*AI$31</f>
        <v>0</v>
      </c>
      <c r="AJ80" s="17">
        <f>+('CBA Inputs'!AI$33-'CBA Inputs'!AI36)*'CBA Inputs'!$J$13*IF(AJ$77=0,0,1)*'Option inputs'!$F17*AJ$31</f>
        <v>0</v>
      </c>
    </row>
    <row r="81" spans="2:36" x14ac:dyDescent="0.35">
      <c r="B81" s="9">
        <f>+'Option inputs'!$B$18</f>
        <v>4</v>
      </c>
      <c r="C81" s="14" t="str">
        <f>+'Option inputs'!$C$18</f>
        <v>Option 1D</v>
      </c>
      <c r="D81" s="25"/>
      <c r="E81" s="12" t="s">
        <v>35</v>
      </c>
      <c r="F81" s="18">
        <f t="shared" si="40"/>
        <v>-6956198.3160466217</v>
      </c>
      <c r="G81" s="17">
        <f>+('CBA Inputs'!F$33-'CBA Inputs'!F37)*'CBA Inputs'!$J$13*IF(G$77=0,0,1)*'Option inputs'!$F18*G$31</f>
        <v>0</v>
      </c>
      <c r="H81" s="17">
        <f>+('CBA Inputs'!G$33-'CBA Inputs'!G37)*'CBA Inputs'!$J$13*IF(H$77=0,0,1)*'Option inputs'!$F18*H$31</f>
        <v>0</v>
      </c>
      <c r="I81" s="17">
        <f>+('CBA Inputs'!H$33-'CBA Inputs'!H37)*'CBA Inputs'!$J$13*IF(I$77=0,0,1)*'Option inputs'!$F18*I$31</f>
        <v>0</v>
      </c>
      <c r="J81" s="17">
        <f>+('CBA Inputs'!I$33-'CBA Inputs'!I37)*'CBA Inputs'!$J$13*IF(J$77=0,0,1)*'Option inputs'!$F18*J$31</f>
        <v>-593386.34243838873</v>
      </c>
      <c r="K81" s="17">
        <f>+('CBA Inputs'!J$33-'CBA Inputs'!J37)*'CBA Inputs'!$J$13*IF(K$77=0,0,1)*'Option inputs'!$F18*K$31</f>
        <v>-593386.34243838873</v>
      </c>
      <c r="L81" s="17">
        <f>+('CBA Inputs'!K$33-'CBA Inputs'!K37)*'CBA Inputs'!$J$13*IF(L$77=0,0,1)*'Option inputs'!$F18*L$31</f>
        <v>-593386.34243838873</v>
      </c>
      <c r="M81" s="17">
        <f>+('CBA Inputs'!L$33-'CBA Inputs'!L37)*'CBA Inputs'!$J$13*IF(M$77=0,0,1)*'Option inputs'!$F18*M$31</f>
        <v>-593386.34243838873</v>
      </c>
      <c r="N81" s="17">
        <f>+('CBA Inputs'!M$33-'CBA Inputs'!M37)*'CBA Inputs'!$J$13*IF(N$77=0,0,1)*'Option inputs'!$F18*N$31</f>
        <v>-593386.34243838873</v>
      </c>
      <c r="O81" s="17">
        <f>+('CBA Inputs'!N$33-'CBA Inputs'!N37)*'CBA Inputs'!$J$13*IF(O$77=0,0,1)*'Option inputs'!$F18*O$31</f>
        <v>-593386.34243838873</v>
      </c>
      <c r="P81" s="17">
        <f>+('CBA Inputs'!O$33-'CBA Inputs'!O37)*'CBA Inputs'!$J$13*IF(P$77=0,0,1)*'Option inputs'!$F18*P$31</f>
        <v>-593386.34243838873</v>
      </c>
      <c r="Q81" s="17">
        <f>+('CBA Inputs'!P$33-'CBA Inputs'!P37)*'CBA Inputs'!$J$13*IF(Q$77=0,0,1)*'Option inputs'!$F18*Q$31</f>
        <v>-593386.34243838873</v>
      </c>
      <c r="R81" s="17">
        <f>+('CBA Inputs'!Q$33-'CBA Inputs'!Q37)*'CBA Inputs'!$J$13*IF(R$77=0,0,1)*'Option inputs'!$F18*R$31</f>
        <v>-593386.34243838873</v>
      </c>
      <c r="S81" s="17">
        <f>+('CBA Inputs'!R$33-'CBA Inputs'!R37)*'CBA Inputs'!$J$13*IF(S$77=0,0,1)*'Option inputs'!$F18*S$31</f>
        <v>-593386.34243838873</v>
      </c>
      <c r="T81" s="17">
        <f>+('CBA Inputs'!S$33-'CBA Inputs'!S37)*'CBA Inputs'!$J$13*IF(T$77=0,0,1)*'Option inputs'!$F18*T$31</f>
        <v>-593386.34243838873</v>
      </c>
      <c r="U81" s="17">
        <f>+('CBA Inputs'!T$33-'CBA Inputs'!T37)*'CBA Inputs'!$J$13*IF(U$77=0,0,1)*'Option inputs'!$F18*U$31</f>
        <v>-593386.34243838873</v>
      </c>
      <c r="V81" s="17">
        <f>+('CBA Inputs'!U$33-'CBA Inputs'!U37)*'CBA Inputs'!$J$13*IF(V$77=0,0,1)*'Option inputs'!$F18*V$31</f>
        <v>-593386.34243838873</v>
      </c>
      <c r="W81" s="17">
        <f>+('CBA Inputs'!V$33-'CBA Inputs'!V37)*'CBA Inputs'!$J$13*IF(W$77=0,0,1)*'Option inputs'!$F18*W$31</f>
        <v>-593386.34243838873</v>
      </c>
      <c r="X81" s="17">
        <f>+('CBA Inputs'!W$33-'CBA Inputs'!W37)*'CBA Inputs'!$J$13*IF(X$77=0,0,1)*'Option inputs'!$F18*X$31</f>
        <v>-593386.34243838873</v>
      </c>
      <c r="Y81" s="17">
        <f>+('CBA Inputs'!X$33-'CBA Inputs'!X37)*'CBA Inputs'!$J$13*IF(Y$77=0,0,1)*'Option inputs'!$F18*Y$31</f>
        <v>-593386.34243838873</v>
      </c>
      <c r="Z81" s="17">
        <f>+('CBA Inputs'!Y$33-'CBA Inputs'!Y37)*'CBA Inputs'!$J$13*IF(Z$77=0,0,1)*'Option inputs'!$F18*Z$31</f>
        <v>-593386.34243838873</v>
      </c>
      <c r="AA81" s="17">
        <f>+('CBA Inputs'!Z$33-'CBA Inputs'!Z37)*'CBA Inputs'!$J$13*IF(AA$77=0,0,1)*'Option inputs'!$F18*AA$31</f>
        <v>-593386.34243838873</v>
      </c>
      <c r="AB81" s="17">
        <f>+('CBA Inputs'!AA$33-'CBA Inputs'!AA37)*'CBA Inputs'!$J$13*IF(AB$77=0,0,1)*'Option inputs'!$F18*AB$31</f>
        <v>-593386.34243838873</v>
      </c>
      <c r="AC81" s="17">
        <f>+('CBA Inputs'!AB$33-'CBA Inputs'!AB37)*'CBA Inputs'!$J$13*IF(AC$77=0,0,1)*'Option inputs'!$F18*AC$31</f>
        <v>-593386.34243838873</v>
      </c>
      <c r="AD81" s="17">
        <f>+('CBA Inputs'!AC$33-'CBA Inputs'!AC37)*'CBA Inputs'!$J$13*IF(AD$77=0,0,1)*'Option inputs'!$F18*AD$31</f>
        <v>-593386.34243838873</v>
      </c>
      <c r="AE81" s="17">
        <f>+('CBA Inputs'!AD$33-'CBA Inputs'!AD37)*'CBA Inputs'!$J$13*IF(AE$77=0,0,1)*'Option inputs'!$F18*AE$31</f>
        <v>-593386.34243838873</v>
      </c>
      <c r="AF81" s="17">
        <f>+('CBA Inputs'!AE$33-'CBA Inputs'!AE37)*'CBA Inputs'!$J$13*IF(AF$77=0,0,1)*'Option inputs'!$F18*AF$31</f>
        <v>-593386.34243838873</v>
      </c>
      <c r="AG81" s="17">
        <f>+('CBA Inputs'!AF$33-'CBA Inputs'!AF37)*'CBA Inputs'!$J$13*IF(AG$77=0,0,1)*'Option inputs'!$F18*AG$31</f>
        <v>0</v>
      </c>
      <c r="AH81" s="17">
        <f>+('CBA Inputs'!AG$33-'CBA Inputs'!AG37)*'CBA Inputs'!$J$13*IF(AH$77=0,0,1)*'Option inputs'!$F18*AH$31</f>
        <v>0</v>
      </c>
      <c r="AI81" s="17">
        <f>+('CBA Inputs'!AH$33-'CBA Inputs'!AH37)*'CBA Inputs'!$J$13*IF(AI$77=0,0,1)*'Option inputs'!$F18*AI$31</f>
        <v>0</v>
      </c>
      <c r="AJ81" s="17">
        <f>+('CBA Inputs'!AI$33-'CBA Inputs'!AI37)*'CBA Inputs'!$J$13*IF(AJ$77=0,0,1)*'Option inputs'!$F18*AJ$31</f>
        <v>0</v>
      </c>
    </row>
    <row r="83" spans="2:36" ht="21" x14ac:dyDescent="0.5">
      <c r="B83" s="6" t="s">
        <v>51</v>
      </c>
      <c r="C83" s="29"/>
      <c r="D83" s="29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</row>
    <row r="84" spans="2:36" x14ac:dyDescent="0.35">
      <c r="F84" s="112"/>
    </row>
    <row r="85" spans="2:36" x14ac:dyDescent="0.35">
      <c r="B85" s="5" t="str">
        <f>+'CBA Inputs'!B41</f>
        <v>Involuntary load shedding</v>
      </c>
      <c r="C85" s="27"/>
      <c r="D85" s="27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x14ac:dyDescent="0.35">
      <c r="B86" s="7" t="s">
        <v>14</v>
      </c>
      <c r="C86" s="10" t="s">
        <v>13</v>
      </c>
      <c r="D86" s="10"/>
      <c r="E86" s="8" t="s">
        <v>22</v>
      </c>
      <c r="F86" s="8" t="s">
        <v>37</v>
      </c>
      <c r="G86" s="13" t="str">
        <f>G$32</f>
        <v>FY 2019-20</v>
      </c>
      <c r="H86" s="13" t="str">
        <f t="shared" ref="H86:AJ86" si="41">H$32</f>
        <v>FY 2020-21</v>
      </c>
      <c r="I86" s="13" t="str">
        <f t="shared" si="41"/>
        <v>FY 2021-22</v>
      </c>
      <c r="J86" s="13" t="str">
        <f t="shared" si="41"/>
        <v>FY 2022-23</v>
      </c>
      <c r="K86" s="13" t="str">
        <f t="shared" si="41"/>
        <v>FY 2023-24</v>
      </c>
      <c r="L86" s="13" t="str">
        <f t="shared" si="41"/>
        <v>FY 2024-25</v>
      </c>
      <c r="M86" s="13" t="str">
        <f t="shared" si="41"/>
        <v>FY 2025-26</v>
      </c>
      <c r="N86" s="13" t="str">
        <f t="shared" si="41"/>
        <v>FY 2026-27</v>
      </c>
      <c r="O86" s="13" t="str">
        <f t="shared" si="41"/>
        <v>FY 2027-28</v>
      </c>
      <c r="P86" s="13" t="str">
        <f t="shared" si="41"/>
        <v>FY 2028-29</v>
      </c>
      <c r="Q86" s="13" t="str">
        <f t="shared" si="41"/>
        <v>FY 2029-30</v>
      </c>
      <c r="R86" s="13" t="str">
        <f t="shared" si="41"/>
        <v>FY 2030-31</v>
      </c>
      <c r="S86" s="13" t="str">
        <f t="shared" si="41"/>
        <v>FY 2031-32</v>
      </c>
      <c r="T86" s="13" t="str">
        <f t="shared" si="41"/>
        <v>FY 2032-33</v>
      </c>
      <c r="U86" s="13" t="str">
        <f t="shared" si="41"/>
        <v>FY 2033-34</v>
      </c>
      <c r="V86" s="13" t="str">
        <f t="shared" si="41"/>
        <v>FY 2034-35</v>
      </c>
      <c r="W86" s="13" t="str">
        <f t="shared" si="41"/>
        <v>FY 2035-36</v>
      </c>
      <c r="X86" s="13" t="str">
        <f t="shared" si="41"/>
        <v>FY 2036-37</v>
      </c>
      <c r="Y86" s="13" t="str">
        <f t="shared" si="41"/>
        <v>FY 2037-38</v>
      </c>
      <c r="Z86" s="13" t="str">
        <f t="shared" si="41"/>
        <v>FY 2038-39</v>
      </c>
      <c r="AA86" s="13" t="str">
        <f t="shared" si="41"/>
        <v>FY 2039-40</v>
      </c>
      <c r="AB86" s="13" t="str">
        <f t="shared" si="41"/>
        <v>FY 2040-41</v>
      </c>
      <c r="AC86" s="13" t="str">
        <f t="shared" si="41"/>
        <v>FY 2041-42</v>
      </c>
      <c r="AD86" s="13" t="str">
        <f t="shared" si="41"/>
        <v>FY 2042-43</v>
      </c>
      <c r="AE86" s="13" t="str">
        <f t="shared" si="41"/>
        <v>FY 2043-44</v>
      </c>
      <c r="AF86" s="13" t="str">
        <f t="shared" si="41"/>
        <v>FY 2044-45</v>
      </c>
      <c r="AG86" s="13" t="str">
        <f t="shared" si="41"/>
        <v>FY 2045-46</v>
      </c>
      <c r="AH86" s="13" t="str">
        <f t="shared" si="41"/>
        <v>FY 2046-47</v>
      </c>
      <c r="AI86" s="13" t="str">
        <f t="shared" si="41"/>
        <v>FY 2047-48</v>
      </c>
      <c r="AJ86" s="13" t="str">
        <f t="shared" si="41"/>
        <v>FY 2048-49</v>
      </c>
    </row>
    <row r="87" spans="2:36" x14ac:dyDescent="0.35">
      <c r="B87" s="9">
        <f>+'Option inputs'!$B$15</f>
        <v>1</v>
      </c>
      <c r="C87" s="14" t="str">
        <f>+'Option inputs'!$C$15</f>
        <v>Option 1A</v>
      </c>
      <c r="D87" s="25"/>
      <c r="E87" s="12" t="s">
        <v>35</v>
      </c>
      <c r="F87" s="18">
        <f t="shared" ref="F87:F90" si="42">NPV(DiscountRate_ACTIVE,G87:AJ87)/(1+DiscountRate_ACTIVE)^(FirstYear-BaseYear-2)</f>
        <v>7433268.2461585235</v>
      </c>
      <c r="G87" s="17">
        <f>IFERROR('Option inputs'!$F15*(IF(Scenario_Select="Scenario 1",'CBA Inputs'!F$44-'CBA Inputs'!F45,0)+IF(Scenario_Select="Scenario 2",'CBA Inputs'!F$51-'CBA Inputs'!F52,0)+IF(Scenario_Select="Scenario 3",'CBA Inputs'!F$58-'CBA Inputs'!F59,0)+IF(Scenario_Select="Scenario 4",'CBA Inputs'!F$65-'CBA Inputs'!F66,0)),0)*G$31</f>
        <v>0</v>
      </c>
      <c r="H87" s="17">
        <f>IFERROR('Option inputs'!$F15*(IF(Scenario_Select="Scenario 1",'CBA Inputs'!G$44-'CBA Inputs'!G45,0)+IF(Scenario_Select="Scenario 2",'CBA Inputs'!G$51-'CBA Inputs'!G52,0)+IF(Scenario_Select="Scenario 3",'CBA Inputs'!G$58-'CBA Inputs'!G59,0)+IF(Scenario_Select="Scenario 4",'CBA Inputs'!G$65-'CBA Inputs'!G66,0)),0)*H$31</f>
        <v>0.38766966154798865</v>
      </c>
      <c r="I87" s="17">
        <f>IFERROR('Option inputs'!$F15*(IF(Scenario_Select="Scenario 1",'CBA Inputs'!H$44-'CBA Inputs'!H45,0)+IF(Scenario_Select="Scenario 2",'CBA Inputs'!H$51-'CBA Inputs'!H52,0)+IF(Scenario_Select="Scenario 3",'CBA Inputs'!H$58-'CBA Inputs'!H59,0)+IF(Scenario_Select="Scenario 4",'CBA Inputs'!H$65-'CBA Inputs'!H66,0)),0)*I$31</f>
        <v>-0.88129361905157566</v>
      </c>
      <c r="J87" s="17">
        <f>IFERROR('Option inputs'!$F15*(IF(Scenario_Select="Scenario 1",'CBA Inputs'!I$44-'CBA Inputs'!I45,0)+IF(Scenario_Select="Scenario 2",'CBA Inputs'!I$51-'CBA Inputs'!I52,0)+IF(Scenario_Select="Scenario 3",'CBA Inputs'!I$58-'CBA Inputs'!I59,0)+IF(Scenario_Select="Scenario 4",'CBA Inputs'!I$65-'CBA Inputs'!I66,0)),0)*J$31</f>
        <v>-537096.66099381447</v>
      </c>
      <c r="K87" s="17">
        <f>IFERROR('Option inputs'!$F15*(IF(Scenario_Select="Scenario 1",'CBA Inputs'!J$44-'CBA Inputs'!J45,0)+IF(Scenario_Select="Scenario 2",'CBA Inputs'!J$51-'CBA Inputs'!J52,0)+IF(Scenario_Select="Scenario 3",'CBA Inputs'!J$58-'CBA Inputs'!J59,0)+IF(Scenario_Select="Scenario 4",'CBA Inputs'!J$65-'CBA Inputs'!J66,0)),0)*K$31</f>
        <v>10366762.414264672</v>
      </c>
      <c r="L87" s="17">
        <f>IFERROR('Option inputs'!$F15*(IF(Scenario_Select="Scenario 1",'CBA Inputs'!K$44-'CBA Inputs'!K45,0)+IF(Scenario_Select="Scenario 2",'CBA Inputs'!K$51-'CBA Inputs'!K52,0)+IF(Scenario_Select="Scenario 3",'CBA Inputs'!K$58-'CBA Inputs'!K59,0)+IF(Scenario_Select="Scenario 4",'CBA Inputs'!K$65-'CBA Inputs'!K66,0)),0)*L$31</f>
        <v>5337556.9975983799</v>
      </c>
      <c r="M87" s="17">
        <f>IFERROR('Option inputs'!$F15*(IF(Scenario_Select="Scenario 1",'CBA Inputs'!L$44-'CBA Inputs'!L45,0)+IF(Scenario_Select="Scenario 2",'CBA Inputs'!L$51-'CBA Inputs'!L52,0)+IF(Scenario_Select="Scenario 3",'CBA Inputs'!L$58-'CBA Inputs'!L59,0)+IF(Scenario_Select="Scenario 4",'CBA Inputs'!L$65-'CBA Inputs'!L66,0)),0)*M$31</f>
        <v>1.0570264596427119</v>
      </c>
      <c r="N87" s="17">
        <f>IFERROR('Option inputs'!$F15*(IF(Scenario_Select="Scenario 1",'CBA Inputs'!M$44-'CBA Inputs'!M45,0)+IF(Scenario_Select="Scenario 2",'CBA Inputs'!M$51-'CBA Inputs'!M52,0)+IF(Scenario_Select="Scenario 3",'CBA Inputs'!M$58-'CBA Inputs'!M59,0)+IF(Scenario_Select="Scenario 4",'CBA Inputs'!M$65-'CBA Inputs'!M66,0)),0)*N$31</f>
        <v>1.119371473932453</v>
      </c>
      <c r="O87" s="17">
        <f>IFERROR('Option inputs'!$F15*(IF(Scenario_Select="Scenario 1",'CBA Inputs'!N$44-'CBA Inputs'!N45,0)+IF(Scenario_Select="Scenario 2",'CBA Inputs'!N$51-'CBA Inputs'!N52,0)+IF(Scenario_Select="Scenario 3",'CBA Inputs'!N$58-'CBA Inputs'!N59,0)+IF(Scenario_Select="Scenario 4",'CBA Inputs'!N$65-'CBA Inputs'!N66,0)),0)*O$31</f>
        <v>1.1888004023354493</v>
      </c>
      <c r="P87" s="17">
        <f>IFERROR('Option inputs'!$F15*(IF(Scenario_Select="Scenario 1",'CBA Inputs'!O$44-'CBA Inputs'!O45,0)+IF(Scenario_Select="Scenario 2",'CBA Inputs'!O$51-'CBA Inputs'!O52,0)+IF(Scenario_Select="Scenario 3",'CBA Inputs'!O$58-'CBA Inputs'!O59,0)+IF(Scenario_Select="Scenario 4",'CBA Inputs'!O$65-'CBA Inputs'!O66,0)),0)*P$31</f>
        <v>-3568513.7924693823</v>
      </c>
      <c r="Q87" s="17">
        <f>IFERROR('Option inputs'!$F15*(IF(Scenario_Select="Scenario 1",'CBA Inputs'!P$44-'CBA Inputs'!P45,0)+IF(Scenario_Select="Scenario 2",'CBA Inputs'!P$51-'CBA Inputs'!P52,0)+IF(Scenario_Select="Scenario 3",'CBA Inputs'!P$58-'CBA Inputs'!P59,0)+IF(Scenario_Select="Scenario 4",'CBA Inputs'!P$65-'CBA Inputs'!P66,0)),0)*Q$31</f>
        <v>-559392.11505481601</v>
      </c>
      <c r="R87" s="17">
        <f>IFERROR('Option inputs'!$F15*(IF(Scenario_Select="Scenario 1",'CBA Inputs'!Q$44-'CBA Inputs'!Q45,0)+IF(Scenario_Select="Scenario 2",'CBA Inputs'!Q$51-'CBA Inputs'!Q52,0)+IF(Scenario_Select="Scenario 3",'CBA Inputs'!Q$58-'CBA Inputs'!Q59,0)+IF(Scenario_Select="Scenario 4",'CBA Inputs'!Q$65-'CBA Inputs'!Q66,0)),0)*R$31</f>
        <v>809110.50963641517</v>
      </c>
      <c r="S87" s="17">
        <f>IFERROR('Option inputs'!$F15*(IF(Scenario_Select="Scenario 1",'CBA Inputs'!R$44-'CBA Inputs'!R45,0)+IF(Scenario_Select="Scenario 2",'CBA Inputs'!R$51-'CBA Inputs'!R52,0)+IF(Scenario_Select="Scenario 3",'CBA Inputs'!R$58-'CBA Inputs'!R59,0)+IF(Scenario_Select="Scenario 4",'CBA Inputs'!R$65-'CBA Inputs'!R66,0)),0)*S$31</f>
        <v>-218937.45602569915</v>
      </c>
      <c r="T87" s="17">
        <f>IFERROR('Option inputs'!$F15*(IF(Scenario_Select="Scenario 1",'CBA Inputs'!S$44-'CBA Inputs'!S45,0)+IF(Scenario_Select="Scenario 2",'CBA Inputs'!S$51-'CBA Inputs'!S52,0)+IF(Scenario_Select="Scenario 3",'CBA Inputs'!S$58-'CBA Inputs'!S59,0)+IF(Scenario_Select="Scenario 4",'CBA Inputs'!S$65-'CBA Inputs'!S66,0)),0)*T$31</f>
        <v>188425.1372694429</v>
      </c>
      <c r="U87" s="17">
        <f>IFERROR('Option inputs'!$F15*(IF(Scenario_Select="Scenario 1",'CBA Inputs'!T$44-'CBA Inputs'!T45,0)+IF(Scenario_Select="Scenario 2",'CBA Inputs'!T$51-'CBA Inputs'!T52,0)+IF(Scenario_Select="Scenario 3",'CBA Inputs'!T$58-'CBA Inputs'!T59,0)+IF(Scenario_Select="Scenario 4",'CBA Inputs'!T$65-'CBA Inputs'!T66,0)),0)*U$31</f>
        <v>-3148544.9642912</v>
      </c>
      <c r="V87" s="17">
        <f>IFERROR('Option inputs'!$F15*(IF(Scenario_Select="Scenario 1",'CBA Inputs'!U$44-'CBA Inputs'!U45,0)+IF(Scenario_Select="Scenario 2",'CBA Inputs'!U$51-'CBA Inputs'!U52,0)+IF(Scenario_Select="Scenario 3",'CBA Inputs'!U$58-'CBA Inputs'!U59,0)+IF(Scenario_Select="Scenario 4",'CBA Inputs'!U$65-'CBA Inputs'!U66,0)),0)*V$31</f>
        <v>1033433.4675950804</v>
      </c>
      <c r="W87" s="17">
        <f>IFERROR('Option inputs'!$F15*(IF(Scenario_Select="Scenario 1",'CBA Inputs'!V$44-'CBA Inputs'!V45,0)+IF(Scenario_Select="Scenario 2",'CBA Inputs'!V$51-'CBA Inputs'!V52,0)+IF(Scenario_Select="Scenario 3",'CBA Inputs'!V$58-'CBA Inputs'!V59,0)+IF(Scenario_Select="Scenario 4",'CBA Inputs'!V$65-'CBA Inputs'!V66,0)),0)*W$31</f>
        <v>2241409.6736448407</v>
      </c>
      <c r="X87" s="17">
        <f>IFERROR('Option inputs'!$F15*(IF(Scenario_Select="Scenario 1",'CBA Inputs'!W$44-'CBA Inputs'!W45,0)+IF(Scenario_Select="Scenario 2",'CBA Inputs'!W$51-'CBA Inputs'!W52,0)+IF(Scenario_Select="Scenario 3",'CBA Inputs'!W$58-'CBA Inputs'!W59,0)+IF(Scenario_Select="Scenario 4",'CBA Inputs'!W$65-'CBA Inputs'!W66,0)),0)*X$31</f>
        <v>1.9788994520551773</v>
      </c>
      <c r="Y87" s="17">
        <f>IFERROR('Option inputs'!$F15*(IF(Scenario_Select="Scenario 1",'CBA Inputs'!X$44-'CBA Inputs'!X45,0)+IF(Scenario_Select="Scenario 2",'CBA Inputs'!X$51-'CBA Inputs'!X52,0)+IF(Scenario_Select="Scenario 3",'CBA Inputs'!X$58-'CBA Inputs'!X59,0)+IF(Scenario_Select="Scenario 4",'CBA Inputs'!X$65-'CBA Inputs'!X66,0)),0)*Y$31</f>
        <v>2.0930414905801471</v>
      </c>
      <c r="Z87" s="17">
        <f>IFERROR('Option inputs'!$F15*(IF(Scenario_Select="Scenario 1",'CBA Inputs'!Y$44-'CBA Inputs'!Y45,0)+IF(Scenario_Select="Scenario 2",'CBA Inputs'!Y$51-'CBA Inputs'!Y52,0)+IF(Scenario_Select="Scenario 3",'CBA Inputs'!Y$58-'CBA Inputs'!Y59,0)+IF(Scenario_Select="Scenario 4",'CBA Inputs'!Y$65-'CBA Inputs'!Y66,0)),0)*Z$31</f>
        <v>-41.75545007456094</v>
      </c>
      <c r="AA87" s="17">
        <f>IFERROR('Option inputs'!$F15*(IF(Scenario_Select="Scenario 1",'CBA Inputs'!Z$44-'CBA Inputs'!Z45,0)+IF(Scenario_Select="Scenario 2",'CBA Inputs'!Z$51-'CBA Inputs'!Z52,0)+IF(Scenario_Select="Scenario 3",'CBA Inputs'!Z$58-'CBA Inputs'!Z59,0)+IF(Scenario_Select="Scenario 4",'CBA Inputs'!Z$65-'CBA Inputs'!Z66,0)),0)*AA$31</f>
        <v>8030420.2850036174</v>
      </c>
      <c r="AB87" s="17">
        <f>IFERROR('Option inputs'!$F15*(IF(Scenario_Select="Scenario 1",'CBA Inputs'!AA$44-'CBA Inputs'!AA45,0)+IF(Scenario_Select="Scenario 2",'CBA Inputs'!AA$51-'CBA Inputs'!AA52,0)+IF(Scenario_Select="Scenario 3",'CBA Inputs'!AA$58-'CBA Inputs'!AA59,0)+IF(Scenario_Select="Scenario 4",'CBA Inputs'!AA$65-'CBA Inputs'!AA66,0)),0)*AB$31</f>
        <v>-11376845.103311829</v>
      </c>
      <c r="AC87" s="17">
        <f>IFERROR('Option inputs'!$F15*(IF(Scenario_Select="Scenario 1",'CBA Inputs'!AB$44-'CBA Inputs'!AB45,0)+IF(Scenario_Select="Scenario 2",'CBA Inputs'!AB$51-'CBA Inputs'!AB52,0)+IF(Scenario_Select="Scenario 3",'CBA Inputs'!AB$58-'CBA Inputs'!AB59,0)+IF(Scenario_Select="Scenario 4",'CBA Inputs'!AB$65-'CBA Inputs'!AB66,0)),0)*AC$31</f>
        <v>-2699455.8349100351</v>
      </c>
      <c r="AD87" s="17">
        <f>IFERROR('Option inputs'!$F15*(IF(Scenario_Select="Scenario 1",'CBA Inputs'!AC$44-'CBA Inputs'!AC45,0)+IF(Scenario_Select="Scenario 2",'CBA Inputs'!AC$51-'CBA Inputs'!AC52,0)+IF(Scenario_Select="Scenario 3",'CBA Inputs'!AC$58-'CBA Inputs'!AC59,0)+IF(Scenario_Select="Scenario 4",'CBA Inputs'!AC$65-'CBA Inputs'!AC66,0)),0)*AD$31</f>
        <v>-918415.06049765646</v>
      </c>
      <c r="AE87" s="17">
        <f>IFERROR('Option inputs'!$F15*(IF(Scenario_Select="Scenario 1",'CBA Inputs'!AD$44-'CBA Inputs'!AD45,0)+IF(Scenario_Select="Scenario 2",'CBA Inputs'!AD$51-'CBA Inputs'!AD52,0)+IF(Scenario_Select="Scenario 3",'CBA Inputs'!AD$58-'CBA Inputs'!AD59,0)+IF(Scenario_Select="Scenario 4",'CBA Inputs'!AD$65-'CBA Inputs'!AD66,0)),0)*AE$31</f>
        <v>-3137189.9702465534</v>
      </c>
      <c r="AF87" s="17">
        <f>IFERROR('Option inputs'!$F15*(IF(Scenario_Select="Scenario 1",'CBA Inputs'!AE$44-'CBA Inputs'!AE45,0)+IF(Scenario_Select="Scenario 2",'CBA Inputs'!AE$51-'CBA Inputs'!AE52,0)+IF(Scenario_Select="Scenario 3",'CBA Inputs'!AE$58-'CBA Inputs'!AE59,0)+IF(Scenario_Select="Scenario 4",'CBA Inputs'!AE$65-'CBA Inputs'!AE66,0)),0)*AF$31</f>
        <v>3.1139610222469023</v>
      </c>
      <c r="AG87" s="17">
        <f>IFERROR('Option inputs'!$F15*(IF(Scenario_Select="Scenario 1",'CBA Inputs'!AF$44-'CBA Inputs'!AF45,0)+IF(Scenario_Select="Scenario 2",'CBA Inputs'!AF$51-'CBA Inputs'!AF52,0)+IF(Scenario_Select="Scenario 3",'CBA Inputs'!AF$58-'CBA Inputs'!AF59,0)+IF(Scenario_Select="Scenario 4",'CBA Inputs'!AF$65-'CBA Inputs'!AF66,0)),0)*AG$31</f>
        <v>0</v>
      </c>
      <c r="AH87" s="17">
        <f>IFERROR('Option inputs'!$F15*(IF(Scenario_Select="Scenario 1",'CBA Inputs'!AG$44-'CBA Inputs'!AG45,0)+IF(Scenario_Select="Scenario 2",'CBA Inputs'!AG$51-'CBA Inputs'!AG52,0)+IF(Scenario_Select="Scenario 3",'CBA Inputs'!AG$58-'CBA Inputs'!AG59,0)+IF(Scenario_Select="Scenario 4",'CBA Inputs'!AG$65-'CBA Inputs'!AG66,0)),0)*AH$31</f>
        <v>0</v>
      </c>
      <c r="AI87" s="17">
        <f>IFERROR('Option inputs'!$F15*(IF(Scenario_Select="Scenario 1",'CBA Inputs'!AH$44-'CBA Inputs'!AH45,0)+IF(Scenario_Select="Scenario 2",'CBA Inputs'!AH$51-'CBA Inputs'!AH52,0)+IF(Scenario_Select="Scenario 3",'CBA Inputs'!AH$58-'CBA Inputs'!AH59,0)+IF(Scenario_Select="Scenario 4",'CBA Inputs'!AH$65-'CBA Inputs'!AH66,0)),0)*AI$31</f>
        <v>0</v>
      </c>
      <c r="AJ87" s="17">
        <f>IFERROR('Option inputs'!$F15*(IF(Scenario_Select="Scenario 1",'CBA Inputs'!AI$44-'CBA Inputs'!AI45,0)+IF(Scenario_Select="Scenario 2",'CBA Inputs'!AI$51-'CBA Inputs'!AI52,0)+IF(Scenario_Select="Scenario 3",'CBA Inputs'!AI$58-'CBA Inputs'!AI59,0)+IF(Scenario_Select="Scenario 4",'CBA Inputs'!AI$65-'CBA Inputs'!AI66,0)),0)*AJ$31</f>
        <v>0</v>
      </c>
    </row>
    <row r="88" spans="2:36" x14ac:dyDescent="0.35">
      <c r="B88" s="9">
        <f>+'Option inputs'!$B$16</f>
        <v>2</v>
      </c>
      <c r="C88" s="14" t="str">
        <f>+'Option inputs'!$C$16</f>
        <v>Option 1B</v>
      </c>
      <c r="D88" s="25"/>
      <c r="E88" s="12" t="s">
        <v>35</v>
      </c>
      <c r="F88" s="18">
        <f t="shared" si="42"/>
        <v>-4246374.9892382054</v>
      </c>
      <c r="G88" s="17">
        <f>IFERROR('Option inputs'!$F16*(IF(Scenario_Select="Scenario 1",'CBA Inputs'!F$44-'CBA Inputs'!F46,0)+IF(Scenario_Select="Scenario 2",'CBA Inputs'!F$51-'CBA Inputs'!F53,0)+IF(Scenario_Select="Scenario 3",'CBA Inputs'!F$58-'CBA Inputs'!F60,0)+IF(Scenario_Select="Scenario 4",'CBA Inputs'!F$65-'CBA Inputs'!F67,0)),0)*G$31</f>
        <v>0</v>
      </c>
      <c r="H88" s="17">
        <f>IFERROR('Option inputs'!$F16*(IF(Scenario_Select="Scenario 1",'CBA Inputs'!G$44-'CBA Inputs'!G46,0)+IF(Scenario_Select="Scenario 2",'CBA Inputs'!G$51-'CBA Inputs'!G53,0)+IF(Scenario_Select="Scenario 3",'CBA Inputs'!G$58-'CBA Inputs'!G60,0)+IF(Scenario_Select="Scenario 4",'CBA Inputs'!G$65-'CBA Inputs'!G67,0)),0)*H$31</f>
        <v>-0.71310427726712078</v>
      </c>
      <c r="I88" s="17">
        <f>IFERROR('Option inputs'!$F16*(IF(Scenario_Select="Scenario 1",'CBA Inputs'!H$44-'CBA Inputs'!H46,0)+IF(Scenario_Select="Scenario 2",'CBA Inputs'!H$51-'CBA Inputs'!H53,0)+IF(Scenario_Select="Scenario 3",'CBA Inputs'!H$58-'CBA Inputs'!H60,0)+IF(Scenario_Select="Scenario 4",'CBA Inputs'!H$65-'CBA Inputs'!H67,0)),0)*I$31</f>
        <v>0.87324730306863785</v>
      </c>
      <c r="J88" s="17">
        <f>IFERROR('Option inputs'!$F16*(IF(Scenario_Select="Scenario 1",'CBA Inputs'!I$44-'CBA Inputs'!I46,0)+IF(Scenario_Select="Scenario 2",'CBA Inputs'!I$51-'CBA Inputs'!I53,0)+IF(Scenario_Select="Scenario 3",'CBA Inputs'!I$58-'CBA Inputs'!I60,0)+IF(Scenario_Select="Scenario 4",'CBA Inputs'!I$65-'CBA Inputs'!I67,0)),0)*J$31</f>
        <v>48424.542815715075</v>
      </c>
      <c r="K88" s="17">
        <f>IFERROR('Option inputs'!$F16*(IF(Scenario_Select="Scenario 1",'CBA Inputs'!J$44-'CBA Inputs'!J46,0)+IF(Scenario_Select="Scenario 2",'CBA Inputs'!J$51-'CBA Inputs'!J53,0)+IF(Scenario_Select="Scenario 3",'CBA Inputs'!J$58-'CBA Inputs'!J60,0)+IF(Scenario_Select="Scenario 4",'CBA Inputs'!J$65-'CBA Inputs'!J67,0)),0)*K$31</f>
        <v>8460048.7075162977</v>
      </c>
      <c r="L88" s="17">
        <f>IFERROR('Option inputs'!$F16*(IF(Scenario_Select="Scenario 1",'CBA Inputs'!K$44-'CBA Inputs'!K46,0)+IF(Scenario_Select="Scenario 2",'CBA Inputs'!K$51-'CBA Inputs'!K53,0)+IF(Scenario_Select="Scenario 3",'CBA Inputs'!K$58-'CBA Inputs'!K60,0)+IF(Scenario_Select="Scenario 4",'CBA Inputs'!K$65-'CBA Inputs'!K67,0)),0)*L$31</f>
        <v>-492977.33063256741</v>
      </c>
      <c r="M88" s="17">
        <f>IFERROR('Option inputs'!$F16*(IF(Scenario_Select="Scenario 1",'CBA Inputs'!L$44-'CBA Inputs'!L46,0)+IF(Scenario_Select="Scenario 2",'CBA Inputs'!L$51-'CBA Inputs'!L53,0)+IF(Scenario_Select="Scenario 3",'CBA Inputs'!L$58-'CBA Inputs'!L60,0)+IF(Scenario_Select="Scenario 4",'CBA Inputs'!L$65-'CBA Inputs'!L67,0)),0)*M$31</f>
        <v>-1.8365046225170778</v>
      </c>
      <c r="N88" s="17">
        <f>IFERROR('Option inputs'!$F16*(IF(Scenario_Select="Scenario 1",'CBA Inputs'!M$44-'CBA Inputs'!M46,0)+IF(Scenario_Select="Scenario 2",'CBA Inputs'!M$51-'CBA Inputs'!M53,0)+IF(Scenario_Select="Scenario 3",'CBA Inputs'!M$58-'CBA Inputs'!M60,0)+IF(Scenario_Select="Scenario 4",'CBA Inputs'!M$65-'CBA Inputs'!M67,0)),0)*N$31</f>
        <v>-1.9447310227862191</v>
      </c>
      <c r="O88" s="17">
        <f>IFERROR('Option inputs'!$F16*(IF(Scenario_Select="Scenario 1",'CBA Inputs'!N$44-'CBA Inputs'!N46,0)+IF(Scenario_Select="Scenario 2",'CBA Inputs'!N$51-'CBA Inputs'!N53,0)+IF(Scenario_Select="Scenario 3",'CBA Inputs'!N$58-'CBA Inputs'!N60,0)+IF(Scenario_Select="Scenario 4",'CBA Inputs'!N$65-'CBA Inputs'!N67,0)),0)*O$31</f>
        <v>-2.0654309988087545</v>
      </c>
      <c r="P88" s="17">
        <f>IFERROR('Option inputs'!$F16*(IF(Scenario_Select="Scenario 1",'CBA Inputs'!O$44-'CBA Inputs'!O46,0)+IF(Scenario_Select="Scenario 2",'CBA Inputs'!O$51-'CBA Inputs'!O53,0)+IF(Scenario_Select="Scenario 3",'CBA Inputs'!O$58-'CBA Inputs'!O60,0)+IF(Scenario_Select="Scenario 4",'CBA Inputs'!O$65-'CBA Inputs'!O67,0)),0)*P$31</f>
        <v>-2737031.1053870618</v>
      </c>
      <c r="Q88" s="17">
        <f>IFERROR('Option inputs'!$F16*(IF(Scenario_Select="Scenario 1",'CBA Inputs'!P$44-'CBA Inputs'!P46,0)+IF(Scenario_Select="Scenario 2",'CBA Inputs'!P$51-'CBA Inputs'!P53,0)+IF(Scenario_Select="Scenario 3",'CBA Inputs'!P$58-'CBA Inputs'!P60,0)+IF(Scenario_Select="Scenario 4",'CBA Inputs'!P$65-'CBA Inputs'!P67,0)),0)*Q$31</f>
        <v>299986.90558967739</v>
      </c>
      <c r="R88" s="17">
        <f>IFERROR('Option inputs'!$F16*(IF(Scenario_Select="Scenario 1",'CBA Inputs'!Q$44-'CBA Inputs'!Q46,0)+IF(Scenario_Select="Scenario 2",'CBA Inputs'!Q$51-'CBA Inputs'!Q53,0)+IF(Scenario_Select="Scenario 3",'CBA Inputs'!Q$58-'CBA Inputs'!Q60,0)+IF(Scenario_Select="Scenario 4",'CBA Inputs'!Q$65-'CBA Inputs'!Q67,0)),0)*R$31</f>
        <v>327932.6768959146</v>
      </c>
      <c r="S88" s="17">
        <f>IFERROR('Option inputs'!$F16*(IF(Scenario_Select="Scenario 1",'CBA Inputs'!R$44-'CBA Inputs'!R46,0)+IF(Scenario_Select="Scenario 2",'CBA Inputs'!R$51-'CBA Inputs'!R53,0)+IF(Scenario_Select="Scenario 3",'CBA Inputs'!R$58-'CBA Inputs'!R60,0)+IF(Scenario_Select="Scenario 4",'CBA Inputs'!R$65-'CBA Inputs'!R67,0)),0)*S$31</f>
        <v>234190.58550129086</v>
      </c>
      <c r="T88" s="17">
        <f>IFERROR('Option inputs'!$F16*(IF(Scenario_Select="Scenario 1",'CBA Inputs'!S$44-'CBA Inputs'!S46,0)+IF(Scenario_Select="Scenario 2",'CBA Inputs'!S$51-'CBA Inputs'!S53,0)+IF(Scenario_Select="Scenario 3",'CBA Inputs'!S$58-'CBA Inputs'!S60,0)+IF(Scenario_Select="Scenario 4",'CBA Inputs'!S$65-'CBA Inputs'!S67,0)),0)*T$31</f>
        <v>492356.59693060629</v>
      </c>
      <c r="U88" s="17">
        <f>IFERROR('Option inputs'!$F16*(IF(Scenario_Select="Scenario 1",'CBA Inputs'!T$44-'CBA Inputs'!T46,0)+IF(Scenario_Select="Scenario 2",'CBA Inputs'!T$51-'CBA Inputs'!T53,0)+IF(Scenario_Select="Scenario 3",'CBA Inputs'!T$58-'CBA Inputs'!T60,0)+IF(Scenario_Select="Scenario 4",'CBA Inputs'!T$65-'CBA Inputs'!T67,0)),0)*U$31</f>
        <v>-4810273.776443854</v>
      </c>
      <c r="V88" s="17">
        <f>IFERROR('Option inputs'!$F16*(IF(Scenario_Select="Scenario 1",'CBA Inputs'!U$44-'CBA Inputs'!U46,0)+IF(Scenario_Select="Scenario 2",'CBA Inputs'!U$51-'CBA Inputs'!U53,0)+IF(Scenario_Select="Scenario 3",'CBA Inputs'!U$58-'CBA Inputs'!U60,0)+IF(Scenario_Select="Scenario 4",'CBA Inputs'!U$65-'CBA Inputs'!U67,0)),0)*V$31</f>
        <v>92593.663902140688</v>
      </c>
      <c r="W88" s="17">
        <f>IFERROR('Option inputs'!$F16*(IF(Scenario_Select="Scenario 1",'CBA Inputs'!V$44-'CBA Inputs'!V46,0)+IF(Scenario_Select="Scenario 2",'CBA Inputs'!V$51-'CBA Inputs'!V53,0)+IF(Scenario_Select="Scenario 3",'CBA Inputs'!V$58-'CBA Inputs'!V60,0)+IF(Scenario_Select="Scenario 4",'CBA Inputs'!V$65-'CBA Inputs'!V67,0)),0)*W$31</f>
        <v>1406601.3684630394</v>
      </c>
      <c r="X88" s="17">
        <f>IFERROR('Option inputs'!$F16*(IF(Scenario_Select="Scenario 1",'CBA Inputs'!W$44-'CBA Inputs'!W46,0)+IF(Scenario_Select="Scenario 2",'CBA Inputs'!W$51-'CBA Inputs'!W53,0)+IF(Scenario_Select="Scenario 3",'CBA Inputs'!W$58-'CBA Inputs'!W60,0)+IF(Scenario_Select="Scenario 4",'CBA Inputs'!W$65-'CBA Inputs'!W67,0)),0)*X$31</f>
        <v>-3.4382160490047187</v>
      </c>
      <c r="Y88" s="17">
        <f>IFERROR('Option inputs'!$F16*(IF(Scenario_Select="Scenario 1",'CBA Inputs'!X$44-'CBA Inputs'!X46,0)+IF(Scenario_Select="Scenario 2",'CBA Inputs'!X$51-'CBA Inputs'!X53,0)+IF(Scenario_Select="Scenario 3",'CBA Inputs'!X$58-'CBA Inputs'!X60,0)+IF(Scenario_Select="Scenario 4",'CBA Inputs'!X$65-'CBA Inputs'!X67,0)),0)*Y$31</f>
        <v>-3.6364698398649828</v>
      </c>
      <c r="Z88" s="17">
        <f>IFERROR('Option inputs'!$F16*(IF(Scenario_Select="Scenario 1",'CBA Inputs'!Y$44-'CBA Inputs'!Y46,0)+IF(Scenario_Select="Scenario 2",'CBA Inputs'!Y$51-'CBA Inputs'!Y53,0)+IF(Scenario_Select="Scenario 3",'CBA Inputs'!Y$58-'CBA Inputs'!Y60,0)+IF(Scenario_Select="Scenario 4",'CBA Inputs'!Y$65-'CBA Inputs'!Y67,0)),0)*Z$31</f>
        <v>-33.618209160864353</v>
      </c>
      <c r="AA88" s="17">
        <f>IFERROR('Option inputs'!$F16*(IF(Scenario_Select="Scenario 1",'CBA Inputs'!Z$44-'CBA Inputs'!Z46,0)+IF(Scenario_Select="Scenario 2",'CBA Inputs'!Z$51-'CBA Inputs'!Z53,0)+IF(Scenario_Select="Scenario 3",'CBA Inputs'!Z$58-'CBA Inputs'!Z60,0)+IF(Scenario_Select="Scenario 4",'CBA Inputs'!Z$65-'CBA Inputs'!Z67,0)),0)*AA$31</f>
        <v>-883328.14655894041</v>
      </c>
      <c r="AB88" s="17">
        <f>IFERROR('Option inputs'!$F16*(IF(Scenario_Select="Scenario 1",'CBA Inputs'!AA$44-'CBA Inputs'!AA46,0)+IF(Scenario_Select="Scenario 2",'CBA Inputs'!AA$51-'CBA Inputs'!AA53,0)+IF(Scenario_Select="Scenario 3",'CBA Inputs'!AA$58-'CBA Inputs'!AA60,0)+IF(Scenario_Select="Scenario 4",'CBA Inputs'!AA$65-'CBA Inputs'!AA67,0)),0)*AB$31</f>
        <v>-10989395.282479748</v>
      </c>
      <c r="AC88" s="17">
        <f>IFERROR('Option inputs'!$F16*(IF(Scenario_Select="Scenario 1",'CBA Inputs'!AB$44-'CBA Inputs'!AB46,0)+IF(Scenario_Select="Scenario 2",'CBA Inputs'!AB$51-'CBA Inputs'!AB53,0)+IF(Scenario_Select="Scenario 3",'CBA Inputs'!AB$58-'CBA Inputs'!AB60,0)+IF(Scenario_Select="Scenario 4",'CBA Inputs'!AB$65-'CBA Inputs'!AB67,0)),0)*AC$31</f>
        <v>-9163057.6103923693</v>
      </c>
      <c r="AD88" s="17">
        <f>IFERROR('Option inputs'!$F16*(IF(Scenario_Select="Scenario 1",'CBA Inputs'!AC$44-'CBA Inputs'!AC46,0)+IF(Scenario_Select="Scenario 2",'CBA Inputs'!AC$51-'CBA Inputs'!AC53,0)+IF(Scenario_Select="Scenario 3",'CBA Inputs'!AC$58-'CBA Inputs'!AC60,0)+IF(Scenario_Select="Scenario 4",'CBA Inputs'!AC$65-'CBA Inputs'!AC67,0)),0)*AD$31</f>
        <v>-5937040.388379693</v>
      </c>
      <c r="AE88" s="17">
        <f>IFERROR('Option inputs'!$F16*(IF(Scenario_Select="Scenario 1",'CBA Inputs'!AD$44-'CBA Inputs'!AD46,0)+IF(Scenario_Select="Scenario 2",'CBA Inputs'!AD$51-'CBA Inputs'!AD53,0)+IF(Scenario_Select="Scenario 3",'CBA Inputs'!AD$58-'CBA Inputs'!AD60,0)+IF(Scenario_Select="Scenario 4",'CBA Inputs'!AD$65-'CBA Inputs'!AD67,0)),0)*AE$31</f>
        <v>-597711.82316660881</v>
      </c>
      <c r="AF88" s="17">
        <f>IFERROR('Option inputs'!$F16*(IF(Scenario_Select="Scenario 1",'CBA Inputs'!AE$44-'CBA Inputs'!AE46,0)+IF(Scenario_Select="Scenario 2",'CBA Inputs'!AE$51-'CBA Inputs'!AE53,0)+IF(Scenario_Select="Scenario 3",'CBA Inputs'!AE$58-'CBA Inputs'!AE60,0)+IF(Scenario_Select="Scenario 4",'CBA Inputs'!AE$65-'CBA Inputs'!AE67,0)),0)*AF$31</f>
        <v>-5.4103333988698372</v>
      </c>
      <c r="AG88" s="17">
        <f>IFERROR('Option inputs'!$F16*(IF(Scenario_Select="Scenario 1",'CBA Inputs'!AF$44-'CBA Inputs'!AF46,0)+IF(Scenario_Select="Scenario 2",'CBA Inputs'!AF$51-'CBA Inputs'!AF53,0)+IF(Scenario_Select="Scenario 3",'CBA Inputs'!AF$58-'CBA Inputs'!AF60,0)+IF(Scenario_Select="Scenario 4",'CBA Inputs'!AF$65-'CBA Inputs'!AF67,0)),0)*AG$31</f>
        <v>0</v>
      </c>
      <c r="AH88" s="17">
        <f>IFERROR('Option inputs'!$F16*(IF(Scenario_Select="Scenario 1",'CBA Inputs'!AG$44-'CBA Inputs'!AG46,0)+IF(Scenario_Select="Scenario 2",'CBA Inputs'!AG$51-'CBA Inputs'!AG53,0)+IF(Scenario_Select="Scenario 3",'CBA Inputs'!AG$58-'CBA Inputs'!AG60,0)+IF(Scenario_Select="Scenario 4",'CBA Inputs'!AG$65-'CBA Inputs'!AG67,0)),0)*AH$31</f>
        <v>0</v>
      </c>
      <c r="AI88" s="17">
        <f>IFERROR('Option inputs'!$F16*(IF(Scenario_Select="Scenario 1",'CBA Inputs'!AH$44-'CBA Inputs'!AH46,0)+IF(Scenario_Select="Scenario 2",'CBA Inputs'!AH$51-'CBA Inputs'!AH53,0)+IF(Scenario_Select="Scenario 3",'CBA Inputs'!AH$58-'CBA Inputs'!AH60,0)+IF(Scenario_Select="Scenario 4",'CBA Inputs'!AH$65-'CBA Inputs'!AH67,0)),0)*AI$31</f>
        <v>0</v>
      </c>
      <c r="AJ88" s="17">
        <f>IFERROR('Option inputs'!$F16*(IF(Scenario_Select="Scenario 1",'CBA Inputs'!AI$44-'CBA Inputs'!AI46,0)+IF(Scenario_Select="Scenario 2",'CBA Inputs'!AI$51-'CBA Inputs'!AI53,0)+IF(Scenario_Select="Scenario 3",'CBA Inputs'!AI$58-'CBA Inputs'!AI60,0)+IF(Scenario_Select="Scenario 4",'CBA Inputs'!AI$65-'CBA Inputs'!AI67,0)),0)*AJ$31</f>
        <v>0</v>
      </c>
    </row>
    <row r="89" spans="2:36" x14ac:dyDescent="0.35">
      <c r="B89" s="9">
        <f>+'Option inputs'!$B$17</f>
        <v>3</v>
      </c>
      <c r="C89" s="14" t="str">
        <f>+'Option inputs'!$C$17</f>
        <v>Option 1C</v>
      </c>
      <c r="D89" s="25"/>
      <c r="E89" s="12" t="s">
        <v>35</v>
      </c>
      <c r="F89" s="18">
        <f t="shared" si="42"/>
        <v>23657726.332188129</v>
      </c>
      <c r="G89" s="17">
        <f>IFERROR('Option inputs'!$F17*(IF(Scenario_Select="Scenario 1",'CBA Inputs'!F$44-'CBA Inputs'!F47,0)+IF(Scenario_Select="Scenario 2",'CBA Inputs'!F$51-'CBA Inputs'!F54,0)+IF(Scenario_Select="Scenario 3",'CBA Inputs'!F$58-'CBA Inputs'!F61,0)+IF(Scenario_Select="Scenario 4",'CBA Inputs'!F$65-'CBA Inputs'!F68,0)),0)*G$31</f>
        <v>0</v>
      </c>
      <c r="H89" s="17">
        <f>IFERROR('Option inputs'!$F17*(IF(Scenario_Select="Scenario 1",'CBA Inputs'!G$44-'CBA Inputs'!G47,0)+IF(Scenario_Select="Scenario 2",'CBA Inputs'!G$51-'CBA Inputs'!G54,0)+IF(Scenario_Select="Scenario 3",'CBA Inputs'!G$58-'CBA Inputs'!G61,0)+IF(Scenario_Select="Scenario 4",'CBA Inputs'!G$65-'CBA Inputs'!G68,0)),0)*H$31</f>
        <v>0.3662811741232872</v>
      </c>
      <c r="I89" s="17">
        <f>IFERROR('Option inputs'!$F17*(IF(Scenario_Select="Scenario 1",'CBA Inputs'!H$44-'CBA Inputs'!H47,0)+IF(Scenario_Select="Scenario 2",'CBA Inputs'!H$51-'CBA Inputs'!H54,0)+IF(Scenario_Select="Scenario 3",'CBA Inputs'!H$58-'CBA Inputs'!H61,0)+IF(Scenario_Select="Scenario 4",'CBA Inputs'!H$65-'CBA Inputs'!H68,0)),0)*I$31</f>
        <v>-0.9690585546195507</v>
      </c>
      <c r="J89" s="17">
        <f>IFERROR('Option inputs'!$F17*(IF(Scenario_Select="Scenario 1",'CBA Inputs'!I$44-'CBA Inputs'!I47,0)+IF(Scenario_Select="Scenario 2",'CBA Inputs'!I$51-'CBA Inputs'!I54,0)+IF(Scenario_Select="Scenario 3",'CBA Inputs'!I$58-'CBA Inputs'!I61,0)+IF(Scenario_Select="Scenario 4",'CBA Inputs'!I$65-'CBA Inputs'!I68,0)),0)*J$31</f>
        <v>4442130.8201560229</v>
      </c>
      <c r="K89" s="17">
        <f>IFERROR('Option inputs'!$F17*(IF(Scenario_Select="Scenario 1",'CBA Inputs'!J$44-'CBA Inputs'!J47,0)+IF(Scenario_Select="Scenario 2",'CBA Inputs'!J$51-'CBA Inputs'!J54,0)+IF(Scenario_Select="Scenario 3",'CBA Inputs'!J$58-'CBA Inputs'!J61,0)+IF(Scenario_Select="Scenario 4",'CBA Inputs'!J$65-'CBA Inputs'!J68,0)),0)*K$31</f>
        <v>336312.62242843211</v>
      </c>
      <c r="L89" s="17">
        <f>IFERROR('Option inputs'!$F17*(IF(Scenario_Select="Scenario 1",'CBA Inputs'!K$44-'CBA Inputs'!K47,0)+IF(Scenario_Select="Scenario 2",'CBA Inputs'!K$51-'CBA Inputs'!K54,0)+IF(Scenario_Select="Scenario 3",'CBA Inputs'!K$58-'CBA Inputs'!K61,0)+IF(Scenario_Select="Scenario 4",'CBA Inputs'!K$65-'CBA Inputs'!K68,0)),0)*L$31</f>
        <v>13076874.53827256</v>
      </c>
      <c r="M89" s="17">
        <f>IFERROR('Option inputs'!$F17*(IF(Scenario_Select="Scenario 1",'CBA Inputs'!L$44-'CBA Inputs'!L47,0)+IF(Scenario_Select="Scenario 2",'CBA Inputs'!L$51-'CBA Inputs'!L54,0)+IF(Scenario_Select="Scenario 3",'CBA Inputs'!L$58-'CBA Inputs'!L61,0)+IF(Scenario_Select="Scenario 4",'CBA Inputs'!L$65-'CBA Inputs'!L68,0)),0)*M$31</f>
        <v>0.93282882687250646</v>
      </c>
      <c r="N89" s="17">
        <f>IFERROR('Option inputs'!$F17*(IF(Scenario_Select="Scenario 1",'CBA Inputs'!M$44-'CBA Inputs'!M47,0)+IF(Scenario_Select="Scenario 2",'CBA Inputs'!M$51-'CBA Inputs'!M54,0)+IF(Scenario_Select="Scenario 3",'CBA Inputs'!M$58-'CBA Inputs'!M61,0)+IF(Scenario_Select="Scenario 4",'CBA Inputs'!M$65-'CBA Inputs'!M68,0)),0)*N$31</f>
        <v>0.98783628307787663</v>
      </c>
      <c r="O89" s="17">
        <f>IFERROR('Option inputs'!$F17*(IF(Scenario_Select="Scenario 1",'CBA Inputs'!N$44-'CBA Inputs'!N47,0)+IF(Scenario_Select="Scenario 2",'CBA Inputs'!N$51-'CBA Inputs'!N54,0)+IF(Scenario_Select="Scenario 3",'CBA Inputs'!N$58-'CBA Inputs'!N61,0)+IF(Scenario_Select="Scenario 4",'CBA Inputs'!N$65-'CBA Inputs'!N68,0)),0)*O$31</f>
        <v>1.0491177655036075</v>
      </c>
      <c r="P89" s="17">
        <f>IFERROR('Option inputs'!$F17*(IF(Scenario_Select="Scenario 1",'CBA Inputs'!O$44-'CBA Inputs'!O47,0)+IF(Scenario_Select="Scenario 2",'CBA Inputs'!O$51-'CBA Inputs'!O54,0)+IF(Scenario_Select="Scenario 3",'CBA Inputs'!O$58-'CBA Inputs'!O61,0)+IF(Scenario_Select="Scenario 4",'CBA Inputs'!O$65-'CBA Inputs'!O68,0)),0)*P$31</f>
        <v>-498702.70191239193</v>
      </c>
      <c r="Q89" s="17">
        <f>IFERROR('Option inputs'!$F17*(IF(Scenario_Select="Scenario 1",'CBA Inputs'!P$44-'CBA Inputs'!P47,0)+IF(Scenario_Select="Scenario 2",'CBA Inputs'!P$51-'CBA Inputs'!P54,0)+IF(Scenario_Select="Scenario 3",'CBA Inputs'!P$58-'CBA Inputs'!P61,0)+IF(Scenario_Select="Scenario 4",'CBA Inputs'!P$65-'CBA Inputs'!P68,0)),0)*Q$31</f>
        <v>6845295.4239926934</v>
      </c>
      <c r="R89" s="17">
        <f>IFERROR('Option inputs'!$F17*(IF(Scenario_Select="Scenario 1",'CBA Inputs'!Q$44-'CBA Inputs'!Q47,0)+IF(Scenario_Select="Scenario 2",'CBA Inputs'!Q$51-'CBA Inputs'!Q54,0)+IF(Scenario_Select="Scenario 3",'CBA Inputs'!Q$58-'CBA Inputs'!Q61,0)+IF(Scenario_Select="Scenario 4",'CBA Inputs'!Q$65-'CBA Inputs'!Q68,0)),0)*R$31</f>
        <v>2913733.6623807512</v>
      </c>
      <c r="S89" s="17">
        <f>IFERROR('Option inputs'!$F17*(IF(Scenario_Select="Scenario 1",'CBA Inputs'!R$44-'CBA Inputs'!R47,0)+IF(Scenario_Select="Scenario 2",'CBA Inputs'!R$51-'CBA Inputs'!R54,0)+IF(Scenario_Select="Scenario 3",'CBA Inputs'!R$58-'CBA Inputs'!R61,0)+IF(Scenario_Select="Scenario 4",'CBA Inputs'!R$65-'CBA Inputs'!R68,0)),0)*S$31</f>
        <v>86403.574571786448</v>
      </c>
      <c r="T89" s="17">
        <f>IFERROR('Option inputs'!$F17*(IF(Scenario_Select="Scenario 1",'CBA Inputs'!S$44-'CBA Inputs'!S47,0)+IF(Scenario_Select="Scenario 2",'CBA Inputs'!S$51-'CBA Inputs'!S54,0)+IF(Scenario_Select="Scenario 3",'CBA Inputs'!S$58-'CBA Inputs'!S61,0)+IF(Scenario_Select="Scenario 4",'CBA Inputs'!S$65-'CBA Inputs'!S68,0)),0)*T$31</f>
        <v>146549.51953064092</v>
      </c>
      <c r="U89" s="17">
        <f>IFERROR('Option inputs'!$F17*(IF(Scenario_Select="Scenario 1",'CBA Inputs'!T$44-'CBA Inputs'!T47,0)+IF(Scenario_Select="Scenario 2",'CBA Inputs'!T$51-'CBA Inputs'!T54,0)+IF(Scenario_Select="Scenario 3",'CBA Inputs'!T$58-'CBA Inputs'!T61,0)+IF(Scenario_Select="Scenario 4",'CBA Inputs'!T$65-'CBA Inputs'!T68,0)),0)*U$31</f>
        <v>2286346.4906677715</v>
      </c>
      <c r="V89" s="17">
        <f>IFERROR('Option inputs'!$F17*(IF(Scenario_Select="Scenario 1",'CBA Inputs'!U$44-'CBA Inputs'!U47,0)+IF(Scenario_Select="Scenario 2",'CBA Inputs'!U$51-'CBA Inputs'!U54,0)+IF(Scenario_Select="Scenario 3",'CBA Inputs'!U$58-'CBA Inputs'!U61,0)+IF(Scenario_Select="Scenario 4",'CBA Inputs'!U$65-'CBA Inputs'!U68,0)),0)*V$31</f>
        <v>1033433.259941363</v>
      </c>
      <c r="W89" s="17">
        <f>IFERROR('Option inputs'!$F17*(IF(Scenario_Select="Scenario 1",'CBA Inputs'!V$44-'CBA Inputs'!V47,0)+IF(Scenario_Select="Scenario 2",'CBA Inputs'!V$51-'CBA Inputs'!V54,0)+IF(Scenario_Select="Scenario 3",'CBA Inputs'!V$58-'CBA Inputs'!V61,0)+IF(Scenario_Select="Scenario 4",'CBA Inputs'!V$65-'CBA Inputs'!V68,0)),0)*W$31</f>
        <v>309961.26920515299</v>
      </c>
      <c r="X89" s="17">
        <f>IFERROR('Option inputs'!$F17*(IF(Scenario_Select="Scenario 1",'CBA Inputs'!W$44-'CBA Inputs'!W47,0)+IF(Scenario_Select="Scenario 2",'CBA Inputs'!W$51-'CBA Inputs'!W54,0)+IF(Scenario_Select="Scenario 3",'CBA Inputs'!W$58-'CBA Inputs'!W61,0)+IF(Scenario_Select="Scenario 4",'CBA Inputs'!W$65-'CBA Inputs'!W68,0)),0)*X$31</f>
        <v>1.7463922749822602</v>
      </c>
      <c r="Y89" s="17">
        <f>IFERROR('Option inputs'!$F17*(IF(Scenario_Select="Scenario 1",'CBA Inputs'!X$44-'CBA Inputs'!X47,0)+IF(Scenario_Select="Scenario 2",'CBA Inputs'!X$51-'CBA Inputs'!X54,0)+IF(Scenario_Select="Scenario 3",'CBA Inputs'!X$58-'CBA Inputs'!X61,0)+IF(Scenario_Select="Scenario 4",'CBA Inputs'!X$65-'CBA Inputs'!X68,0)),0)*Y$31</f>
        <v>1.8471258366209824</v>
      </c>
      <c r="Z89" s="17">
        <f>IFERROR('Option inputs'!$F17*(IF(Scenario_Select="Scenario 1",'CBA Inputs'!Y$44-'CBA Inputs'!Y47,0)+IF(Scenario_Select="Scenario 2",'CBA Inputs'!Y$51-'CBA Inputs'!Y54,0)+IF(Scenario_Select="Scenario 3",'CBA Inputs'!Y$58-'CBA Inputs'!Y61,0)+IF(Scenario_Select="Scenario 4",'CBA Inputs'!Y$65-'CBA Inputs'!Y68,0)),0)*Z$31</f>
        <v>3.1732214074581861</v>
      </c>
      <c r="AA89" s="17">
        <f>IFERROR('Option inputs'!$F17*(IF(Scenario_Select="Scenario 1",'CBA Inputs'!Z$44-'CBA Inputs'!Z47,0)+IF(Scenario_Select="Scenario 2",'CBA Inputs'!Z$51-'CBA Inputs'!Z54,0)+IF(Scenario_Select="Scenario 3",'CBA Inputs'!Z$58-'CBA Inputs'!Z61,0)+IF(Scenario_Select="Scenario 4",'CBA Inputs'!Z$65-'CBA Inputs'!Z68,0)),0)*AA$31</f>
        <v>5334390.0346131362</v>
      </c>
      <c r="AB89" s="17">
        <f>IFERROR('Option inputs'!$F17*(IF(Scenario_Select="Scenario 1",'CBA Inputs'!AA$44-'CBA Inputs'!AA47,0)+IF(Scenario_Select="Scenario 2",'CBA Inputs'!AA$51-'CBA Inputs'!AA54,0)+IF(Scenario_Select="Scenario 3",'CBA Inputs'!AA$58-'CBA Inputs'!AA61,0)+IF(Scenario_Select="Scenario 4",'CBA Inputs'!AA$65-'CBA Inputs'!AA68,0)),0)*AB$31</f>
        <v>412867.76384004205</v>
      </c>
      <c r="AC89" s="17">
        <f>IFERROR('Option inputs'!$F17*(IF(Scenario_Select="Scenario 1",'CBA Inputs'!AB$44-'CBA Inputs'!AB47,0)+IF(Scenario_Select="Scenario 2",'CBA Inputs'!AB$51-'CBA Inputs'!AB54,0)+IF(Scenario_Select="Scenario 3",'CBA Inputs'!AB$58-'CBA Inputs'!AB61,0)+IF(Scenario_Select="Scenario 4",'CBA Inputs'!AB$65-'CBA Inputs'!AB68,0)),0)*AC$31</f>
        <v>492452.71041932702</v>
      </c>
      <c r="AD89" s="17">
        <f>IFERROR('Option inputs'!$F17*(IF(Scenario_Select="Scenario 1",'CBA Inputs'!AC$44-'CBA Inputs'!AC47,0)+IF(Scenario_Select="Scenario 2",'CBA Inputs'!AC$51-'CBA Inputs'!AC54,0)+IF(Scenario_Select="Scenario 3",'CBA Inputs'!AC$58-'CBA Inputs'!AC61,0)+IF(Scenario_Select="Scenario 4",'CBA Inputs'!AC$65-'CBA Inputs'!AC68,0)),0)*AD$31</f>
        <v>552020.02073620632</v>
      </c>
      <c r="AE89" s="17">
        <f>IFERROR('Option inputs'!$F17*(IF(Scenario_Select="Scenario 1",'CBA Inputs'!AD$44-'CBA Inputs'!AD47,0)+IF(Scenario_Select="Scenario 2",'CBA Inputs'!AD$51-'CBA Inputs'!AD54,0)+IF(Scenario_Select="Scenario 3",'CBA Inputs'!AD$58-'CBA Inputs'!AD61,0)+IF(Scenario_Select="Scenario 4",'CBA Inputs'!AD$65-'CBA Inputs'!AD68,0)),0)*AE$31</f>
        <v>-1594713.0809740722</v>
      </c>
      <c r="AF89" s="17">
        <f>IFERROR('Option inputs'!$F17*(IF(Scenario_Select="Scenario 1",'CBA Inputs'!AE$44-'CBA Inputs'!AE47,0)+IF(Scenario_Select="Scenario 2",'CBA Inputs'!AE$51-'CBA Inputs'!AE54,0)+IF(Scenario_Select="Scenario 3",'CBA Inputs'!AE$58-'CBA Inputs'!AE61,0)+IF(Scenario_Select="Scenario 4",'CBA Inputs'!AE$65-'CBA Inputs'!AE68,0)),0)*AF$31</f>
        <v>2.7481209573364862</v>
      </c>
      <c r="AG89" s="17">
        <f>IFERROR('Option inputs'!$F17*(IF(Scenario_Select="Scenario 1",'CBA Inputs'!AF$44-'CBA Inputs'!AF47,0)+IF(Scenario_Select="Scenario 2",'CBA Inputs'!AF$51-'CBA Inputs'!AF54,0)+IF(Scenario_Select="Scenario 3",'CBA Inputs'!AF$58-'CBA Inputs'!AF61,0)+IF(Scenario_Select="Scenario 4",'CBA Inputs'!AF$65-'CBA Inputs'!AF68,0)),0)*AG$31</f>
        <v>0</v>
      </c>
      <c r="AH89" s="17">
        <f>IFERROR('Option inputs'!$F17*(IF(Scenario_Select="Scenario 1",'CBA Inputs'!AG$44-'CBA Inputs'!AG47,0)+IF(Scenario_Select="Scenario 2",'CBA Inputs'!AG$51-'CBA Inputs'!AG54,0)+IF(Scenario_Select="Scenario 3",'CBA Inputs'!AG$58-'CBA Inputs'!AG61,0)+IF(Scenario_Select="Scenario 4",'CBA Inputs'!AG$65-'CBA Inputs'!AG68,0)),0)*AH$31</f>
        <v>0</v>
      </c>
      <c r="AI89" s="17">
        <f>IFERROR('Option inputs'!$F17*(IF(Scenario_Select="Scenario 1",'CBA Inputs'!AH$44-'CBA Inputs'!AH47,0)+IF(Scenario_Select="Scenario 2",'CBA Inputs'!AH$51-'CBA Inputs'!AH54,0)+IF(Scenario_Select="Scenario 3",'CBA Inputs'!AH$58-'CBA Inputs'!AH61,0)+IF(Scenario_Select="Scenario 4",'CBA Inputs'!AH$65-'CBA Inputs'!AH68,0)),0)*AI$31</f>
        <v>0</v>
      </c>
      <c r="AJ89" s="17">
        <f>IFERROR('Option inputs'!$F17*(IF(Scenario_Select="Scenario 1",'CBA Inputs'!AI$44-'CBA Inputs'!AI47,0)+IF(Scenario_Select="Scenario 2",'CBA Inputs'!AI$51-'CBA Inputs'!AI54,0)+IF(Scenario_Select="Scenario 3",'CBA Inputs'!AI$58-'CBA Inputs'!AI61,0)+IF(Scenario_Select="Scenario 4",'CBA Inputs'!AI$65-'CBA Inputs'!AI68,0)),0)*AJ$31</f>
        <v>0</v>
      </c>
    </row>
    <row r="90" spans="2:36" x14ac:dyDescent="0.35">
      <c r="B90" s="9">
        <f>+'Option inputs'!$B$18</f>
        <v>4</v>
      </c>
      <c r="C90" s="14" t="str">
        <f>+'Option inputs'!$C$18</f>
        <v>Option 1D</v>
      </c>
      <c r="D90" s="25"/>
      <c r="E90" s="12" t="s">
        <v>35</v>
      </c>
      <c r="F90" s="18">
        <f t="shared" si="42"/>
        <v>12904865.374737756</v>
      </c>
      <c r="G90" s="17">
        <f>IFERROR('Option inputs'!$F18*(IF(Scenario_Select="Scenario 1",'CBA Inputs'!F$44-'CBA Inputs'!F48,0)+IF(Scenario_Select="Scenario 2",'CBA Inputs'!F$51-'CBA Inputs'!F55,0)+IF(Scenario_Select="Scenario 3",'CBA Inputs'!F$58-'CBA Inputs'!F62,0)+IF(Scenario_Select="Scenario 4",'CBA Inputs'!F$65-'CBA Inputs'!F69,0)),0)*G$31</f>
        <v>0</v>
      </c>
      <c r="H90" s="17">
        <f>IFERROR('Option inputs'!$F18*(IF(Scenario_Select="Scenario 1",'CBA Inputs'!G$44-'CBA Inputs'!G48,0)+IF(Scenario_Select="Scenario 2",'CBA Inputs'!G$51-'CBA Inputs'!G55,0)+IF(Scenario_Select="Scenario 3",'CBA Inputs'!G$58-'CBA Inputs'!G62,0)+IF(Scenario_Select="Scenario 4",'CBA Inputs'!G$65-'CBA Inputs'!G69,0)),0)*H$31</f>
        <v>0.41725195595063269</v>
      </c>
      <c r="I90" s="17">
        <f>IFERROR('Option inputs'!$F18*(IF(Scenario_Select="Scenario 1",'CBA Inputs'!H$44-'CBA Inputs'!H48,0)+IF(Scenario_Select="Scenario 2",'CBA Inputs'!H$51-'CBA Inputs'!H55,0)+IF(Scenario_Select="Scenario 3",'CBA Inputs'!H$58-'CBA Inputs'!H62,0)+IF(Scenario_Select="Scenario 4",'CBA Inputs'!H$65-'CBA Inputs'!H69,0)),0)*I$31</f>
        <v>-0.84997108019888401</v>
      </c>
      <c r="J90" s="17">
        <f>IFERROR('Option inputs'!$F18*(IF(Scenario_Select="Scenario 1",'CBA Inputs'!I$44-'CBA Inputs'!I48,0)+IF(Scenario_Select="Scenario 2",'CBA Inputs'!I$51-'CBA Inputs'!I55,0)+IF(Scenario_Select="Scenario 3",'CBA Inputs'!I$58-'CBA Inputs'!I62,0)+IF(Scenario_Select="Scenario 4",'CBA Inputs'!I$65-'CBA Inputs'!I69,0)),0)*J$31</f>
        <v>2909230.8266757131</v>
      </c>
      <c r="K90" s="17">
        <f>IFERROR('Option inputs'!$F18*(IF(Scenario_Select="Scenario 1",'CBA Inputs'!J$44-'CBA Inputs'!J48,0)+IF(Scenario_Select="Scenario 2",'CBA Inputs'!J$51-'CBA Inputs'!J55,0)+IF(Scenario_Select="Scenario 3",'CBA Inputs'!J$58-'CBA Inputs'!J62,0)+IF(Scenario_Select="Scenario 4",'CBA Inputs'!J$65-'CBA Inputs'!J69,0)),0)*K$31</f>
        <v>-4150372.4799297452</v>
      </c>
      <c r="L90" s="17">
        <f>IFERROR('Option inputs'!$F18*(IF(Scenario_Select="Scenario 1",'CBA Inputs'!K$44-'CBA Inputs'!K48,0)+IF(Scenario_Select="Scenario 2",'CBA Inputs'!K$51-'CBA Inputs'!K55,0)+IF(Scenario_Select="Scenario 3",'CBA Inputs'!K$58-'CBA Inputs'!K62,0)+IF(Scenario_Select="Scenario 4",'CBA Inputs'!K$65-'CBA Inputs'!K69,0)),0)*L$31</f>
        <v>8842377.6780905128</v>
      </c>
      <c r="M90" s="17">
        <f>IFERROR('Option inputs'!$F18*(IF(Scenario_Select="Scenario 1",'CBA Inputs'!L$44-'CBA Inputs'!L48,0)+IF(Scenario_Select="Scenario 2",'CBA Inputs'!L$51-'CBA Inputs'!L55,0)+IF(Scenario_Select="Scenario 3",'CBA Inputs'!L$58-'CBA Inputs'!L62,0)+IF(Scenario_Select="Scenario 4",'CBA Inputs'!L$65-'CBA Inputs'!L69,0)),0)*M$31</f>
        <v>1.1013595580175133</v>
      </c>
      <c r="N90" s="17">
        <f>IFERROR('Option inputs'!$F18*(IF(Scenario_Select="Scenario 1",'CBA Inputs'!M$44-'CBA Inputs'!M48,0)+IF(Scenario_Select="Scenario 2",'CBA Inputs'!M$51-'CBA Inputs'!M55,0)+IF(Scenario_Select="Scenario 3",'CBA Inputs'!M$58-'CBA Inputs'!M62,0)+IF(Scenario_Select="Scenario 4",'CBA Inputs'!M$65-'CBA Inputs'!M69,0)),0)*N$31</f>
        <v>1.1663036392219936</v>
      </c>
      <c r="O90" s="17">
        <f>IFERROR('Option inputs'!$F18*(IF(Scenario_Select="Scenario 1",'CBA Inputs'!N$44-'CBA Inputs'!N48,0)+IF(Scenario_Select="Scenario 2",'CBA Inputs'!N$51-'CBA Inputs'!N55,0)+IF(Scenario_Select="Scenario 3",'CBA Inputs'!N$58-'CBA Inputs'!N62,0)+IF(Scenario_Select="Scenario 4",'CBA Inputs'!N$65-'CBA Inputs'!N69,0)),0)*O$31</f>
        <v>1.2386572799826094</v>
      </c>
      <c r="P90" s="17">
        <f>IFERROR('Option inputs'!$F18*(IF(Scenario_Select="Scenario 1",'CBA Inputs'!O$44-'CBA Inputs'!O48,0)+IF(Scenario_Select="Scenario 2",'CBA Inputs'!O$51-'CBA Inputs'!O55,0)+IF(Scenario_Select="Scenario 3",'CBA Inputs'!O$58-'CBA Inputs'!O62,0)+IF(Scenario_Select="Scenario 4",'CBA Inputs'!O$65-'CBA Inputs'!O69,0)),0)*P$31</f>
        <v>-498764.13736993447</v>
      </c>
      <c r="Q90" s="17">
        <f>IFERROR('Option inputs'!$F18*(IF(Scenario_Select="Scenario 1",'CBA Inputs'!P$44-'CBA Inputs'!P48,0)+IF(Scenario_Select="Scenario 2",'CBA Inputs'!P$51-'CBA Inputs'!P55,0)+IF(Scenario_Select="Scenario 3",'CBA Inputs'!P$58-'CBA Inputs'!P62,0)+IF(Scenario_Select="Scenario 4",'CBA Inputs'!P$65-'CBA Inputs'!P69,0)),0)*Q$31</f>
        <v>6860749.2247712612</v>
      </c>
      <c r="R90" s="17">
        <f>IFERROR('Option inputs'!$F18*(IF(Scenario_Select="Scenario 1",'CBA Inputs'!Q$44-'CBA Inputs'!Q48,0)+IF(Scenario_Select="Scenario 2",'CBA Inputs'!Q$51-'CBA Inputs'!Q55,0)+IF(Scenario_Select="Scenario 3",'CBA Inputs'!Q$58-'CBA Inputs'!Q62,0)+IF(Scenario_Select="Scenario 4",'CBA Inputs'!Q$65-'CBA Inputs'!Q69,0)),0)*R$31</f>
        <v>1836475.7426822279</v>
      </c>
      <c r="S90" s="17">
        <f>IFERROR('Option inputs'!$F18*(IF(Scenario_Select="Scenario 1",'CBA Inputs'!R$44-'CBA Inputs'!R48,0)+IF(Scenario_Select="Scenario 2",'CBA Inputs'!R$51-'CBA Inputs'!R55,0)+IF(Scenario_Select="Scenario 3",'CBA Inputs'!R$58-'CBA Inputs'!R62,0)+IF(Scenario_Select="Scenario 4",'CBA Inputs'!R$65-'CBA Inputs'!R69,0)),0)*S$31</f>
        <v>130281.85665969364</v>
      </c>
      <c r="T90" s="17">
        <f>IFERROR('Option inputs'!$F18*(IF(Scenario_Select="Scenario 1",'CBA Inputs'!S$44-'CBA Inputs'!S48,0)+IF(Scenario_Select="Scenario 2",'CBA Inputs'!S$51-'CBA Inputs'!S55,0)+IF(Scenario_Select="Scenario 3",'CBA Inputs'!S$58-'CBA Inputs'!S62,0)+IF(Scenario_Select="Scenario 4",'CBA Inputs'!S$65-'CBA Inputs'!S69,0)),0)*T$31</f>
        <v>248831.52385124378</v>
      </c>
      <c r="U90" s="17">
        <f>IFERROR('Option inputs'!$F18*(IF(Scenario_Select="Scenario 1",'CBA Inputs'!T$44-'CBA Inputs'!T48,0)+IF(Scenario_Select="Scenario 2",'CBA Inputs'!T$51-'CBA Inputs'!T55,0)+IF(Scenario_Select="Scenario 3",'CBA Inputs'!T$58-'CBA Inputs'!T62,0)+IF(Scenario_Select="Scenario 4",'CBA Inputs'!T$65-'CBA Inputs'!T69,0)),0)*U$31</f>
        <v>137532.88835166395</v>
      </c>
      <c r="V90" s="17">
        <f>IFERROR('Option inputs'!$F18*(IF(Scenario_Select="Scenario 1",'CBA Inputs'!U$44-'CBA Inputs'!U48,0)+IF(Scenario_Select="Scenario 2",'CBA Inputs'!U$51-'CBA Inputs'!U55,0)+IF(Scenario_Select="Scenario 3",'CBA Inputs'!U$58-'CBA Inputs'!U62,0)+IF(Scenario_Select="Scenario 4",'CBA Inputs'!U$65-'CBA Inputs'!U69,0)),0)*V$31</f>
        <v>1033433.5410071524</v>
      </c>
      <c r="W90" s="17">
        <f>IFERROR('Option inputs'!$F18*(IF(Scenario_Select="Scenario 1",'CBA Inputs'!V$44-'CBA Inputs'!V48,0)+IF(Scenario_Select="Scenario 2",'CBA Inputs'!V$51-'CBA Inputs'!V55,0)+IF(Scenario_Select="Scenario 3",'CBA Inputs'!V$58-'CBA Inputs'!V62,0)+IF(Scenario_Select="Scenario 4",'CBA Inputs'!V$65-'CBA Inputs'!V69,0)),0)*W$31</f>
        <v>357315.29304766655</v>
      </c>
      <c r="X90" s="17">
        <f>IFERROR('Option inputs'!$F18*(IF(Scenario_Select="Scenario 1",'CBA Inputs'!W$44-'CBA Inputs'!W48,0)+IF(Scenario_Select="Scenario 2",'CBA Inputs'!W$51-'CBA Inputs'!W55,0)+IF(Scenario_Select="Scenario 3",'CBA Inputs'!W$58-'CBA Inputs'!W62,0)+IF(Scenario_Select="Scenario 4",'CBA Inputs'!W$65-'CBA Inputs'!W69,0)),0)*X$31</f>
        <v>2.0618998229865793</v>
      </c>
      <c r="Y90" s="17">
        <f>IFERROR('Option inputs'!$F18*(IF(Scenario_Select="Scenario 1",'CBA Inputs'!X$44-'CBA Inputs'!X48,0)+IF(Scenario_Select="Scenario 2",'CBA Inputs'!X$51-'CBA Inputs'!X55,0)+IF(Scenario_Select="Scenario 3",'CBA Inputs'!X$58-'CBA Inputs'!X62,0)+IF(Scenario_Select="Scenario 4",'CBA Inputs'!X$65-'CBA Inputs'!X69,0)),0)*Y$31</f>
        <v>2.1808327060255461</v>
      </c>
      <c r="Z90" s="17">
        <f>IFERROR('Option inputs'!$F18*(IF(Scenario_Select="Scenario 1",'CBA Inputs'!Y$44-'CBA Inputs'!Y48,0)+IF(Scenario_Select="Scenario 2",'CBA Inputs'!Y$51-'CBA Inputs'!Y55,0)+IF(Scenario_Select="Scenario 3",'CBA Inputs'!Y$58-'CBA Inputs'!Y62,0)+IF(Scenario_Select="Scenario 4",'CBA Inputs'!Y$65-'CBA Inputs'!Y69,0)),0)*Z$31</f>
        <v>-27.003290636464953</v>
      </c>
      <c r="AA90" s="17">
        <f>IFERROR('Option inputs'!$F18*(IF(Scenario_Select="Scenario 1",'CBA Inputs'!Z$44-'CBA Inputs'!Z48,0)+IF(Scenario_Select="Scenario 2",'CBA Inputs'!Z$51-'CBA Inputs'!Z55,0)+IF(Scenario_Select="Scenario 3",'CBA Inputs'!Z$58-'CBA Inputs'!Z62,0)+IF(Scenario_Select="Scenario 4",'CBA Inputs'!Z$65-'CBA Inputs'!Z69,0)),0)*AA$31</f>
        <v>207374.76091560721</v>
      </c>
      <c r="AB90" s="17">
        <f>IFERROR('Option inputs'!$F18*(IF(Scenario_Select="Scenario 1",'CBA Inputs'!AA$44-'CBA Inputs'!AA48,0)+IF(Scenario_Select="Scenario 2",'CBA Inputs'!AA$51-'CBA Inputs'!AA55,0)+IF(Scenario_Select="Scenario 3",'CBA Inputs'!AA$58-'CBA Inputs'!AA62,0)+IF(Scenario_Select="Scenario 4",'CBA Inputs'!AA$65-'CBA Inputs'!AA69,0)),0)*AB$31</f>
        <v>1570819.5205623806</v>
      </c>
      <c r="AC90" s="17">
        <f>IFERROR('Option inputs'!$F18*(IF(Scenario_Select="Scenario 1",'CBA Inputs'!AB$44-'CBA Inputs'!AB48,0)+IF(Scenario_Select="Scenario 2",'CBA Inputs'!AB$51-'CBA Inputs'!AB55,0)+IF(Scenario_Select="Scenario 3",'CBA Inputs'!AB$58-'CBA Inputs'!AB62,0)+IF(Scenario_Select="Scenario 4",'CBA Inputs'!AB$65-'CBA Inputs'!AB69,0)),0)*AC$31</f>
        <v>1102997.1896614209</v>
      </c>
      <c r="AD90" s="17">
        <f>IFERROR('Option inputs'!$F18*(IF(Scenario_Select="Scenario 1",'CBA Inputs'!AC$44-'CBA Inputs'!AC48,0)+IF(Scenario_Select="Scenario 2",'CBA Inputs'!AC$51-'CBA Inputs'!AC55,0)+IF(Scenario_Select="Scenario 3",'CBA Inputs'!AC$58-'CBA Inputs'!AC62,0)+IF(Scenario_Select="Scenario 4",'CBA Inputs'!AC$65-'CBA Inputs'!AC69,0)),0)*AD$31</f>
        <v>479524.23892941698</v>
      </c>
      <c r="AE90" s="17">
        <f>IFERROR('Option inputs'!$F18*(IF(Scenario_Select="Scenario 1",'CBA Inputs'!AD$44-'CBA Inputs'!AD48,0)+IF(Scenario_Select="Scenario 2",'CBA Inputs'!AD$51-'CBA Inputs'!AD55,0)+IF(Scenario_Select="Scenario 3",'CBA Inputs'!AD$58-'CBA Inputs'!AD62,0)+IF(Scenario_Select="Scenario 4",'CBA Inputs'!AD$65-'CBA Inputs'!AD69,0)),0)*AE$31</f>
        <v>185752.6317999661</v>
      </c>
      <c r="AF90" s="17">
        <f>IFERROR('Option inputs'!$F18*(IF(Scenario_Select="Scenario 1",'CBA Inputs'!AE$44-'CBA Inputs'!AE48,0)+IF(Scenario_Select="Scenario 2",'CBA Inputs'!AE$51-'CBA Inputs'!AE55,0)+IF(Scenario_Select="Scenario 3",'CBA Inputs'!AE$58-'CBA Inputs'!AE62,0)+IF(Scenario_Select="Scenario 4",'CBA Inputs'!AE$65-'CBA Inputs'!AE69,0)),0)*AF$31</f>
        <v>3.2445954027355679</v>
      </c>
      <c r="AG90" s="17">
        <f>IFERROR('Option inputs'!$F18*(IF(Scenario_Select="Scenario 1",'CBA Inputs'!AF$44-'CBA Inputs'!AF48,0)+IF(Scenario_Select="Scenario 2",'CBA Inputs'!AF$51-'CBA Inputs'!AF55,0)+IF(Scenario_Select="Scenario 3",'CBA Inputs'!AF$58-'CBA Inputs'!AF62,0)+IF(Scenario_Select="Scenario 4",'CBA Inputs'!AF$65-'CBA Inputs'!AF69,0)),0)*AG$31</f>
        <v>0</v>
      </c>
      <c r="AH90" s="17">
        <f>IFERROR('Option inputs'!$F18*(IF(Scenario_Select="Scenario 1",'CBA Inputs'!AG$44-'CBA Inputs'!AG48,0)+IF(Scenario_Select="Scenario 2",'CBA Inputs'!AG$51-'CBA Inputs'!AG55,0)+IF(Scenario_Select="Scenario 3",'CBA Inputs'!AG$58-'CBA Inputs'!AG62,0)+IF(Scenario_Select="Scenario 4",'CBA Inputs'!AG$65-'CBA Inputs'!AG69,0)),0)*AH$31</f>
        <v>0</v>
      </c>
      <c r="AI90" s="17">
        <f>IFERROR('Option inputs'!$F18*(IF(Scenario_Select="Scenario 1",'CBA Inputs'!AH$44-'CBA Inputs'!AH48,0)+IF(Scenario_Select="Scenario 2",'CBA Inputs'!AH$51-'CBA Inputs'!AH55,0)+IF(Scenario_Select="Scenario 3",'CBA Inputs'!AH$58-'CBA Inputs'!AH62,0)+IF(Scenario_Select="Scenario 4",'CBA Inputs'!AH$65-'CBA Inputs'!AH69,0)),0)*AI$31</f>
        <v>0</v>
      </c>
      <c r="AJ90" s="17">
        <f>IFERROR('Option inputs'!$F18*(IF(Scenario_Select="Scenario 1",'CBA Inputs'!AI$44-'CBA Inputs'!AI48,0)+IF(Scenario_Select="Scenario 2",'CBA Inputs'!AI$51-'CBA Inputs'!AI55,0)+IF(Scenario_Select="Scenario 3",'CBA Inputs'!AI$58-'CBA Inputs'!AI62,0)+IF(Scenario_Select="Scenario 4",'CBA Inputs'!AI$65-'CBA Inputs'!AI69,0)),0)*AJ$31</f>
        <v>0</v>
      </c>
    </row>
    <row r="92" spans="2:36" x14ac:dyDescent="0.35">
      <c r="B92" s="5" t="str">
        <f>+'CBA Inputs'!B71</f>
        <v>Difference in timing of unrelated expenditure</v>
      </c>
      <c r="C92" s="27"/>
      <c r="D92" s="27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2:36" x14ac:dyDescent="0.35">
      <c r="B93" s="7" t="s">
        <v>14</v>
      </c>
      <c r="C93" s="10" t="s">
        <v>13</v>
      </c>
      <c r="D93" s="10"/>
      <c r="E93" s="8" t="s">
        <v>22</v>
      </c>
      <c r="F93" s="8" t="s">
        <v>37</v>
      </c>
      <c r="G93" s="13" t="str">
        <f>G$32</f>
        <v>FY 2019-20</v>
      </c>
      <c r="H93" s="13" t="str">
        <f t="shared" ref="H93:AJ93" si="43">H$32</f>
        <v>FY 2020-21</v>
      </c>
      <c r="I93" s="13" t="str">
        <f t="shared" si="43"/>
        <v>FY 2021-22</v>
      </c>
      <c r="J93" s="13" t="str">
        <f t="shared" si="43"/>
        <v>FY 2022-23</v>
      </c>
      <c r="K93" s="13" t="str">
        <f t="shared" si="43"/>
        <v>FY 2023-24</v>
      </c>
      <c r="L93" s="13" t="str">
        <f t="shared" si="43"/>
        <v>FY 2024-25</v>
      </c>
      <c r="M93" s="13" t="str">
        <f t="shared" si="43"/>
        <v>FY 2025-26</v>
      </c>
      <c r="N93" s="13" t="str">
        <f t="shared" si="43"/>
        <v>FY 2026-27</v>
      </c>
      <c r="O93" s="13" t="str">
        <f t="shared" si="43"/>
        <v>FY 2027-28</v>
      </c>
      <c r="P93" s="13" t="str">
        <f t="shared" si="43"/>
        <v>FY 2028-29</v>
      </c>
      <c r="Q93" s="13" t="str">
        <f t="shared" si="43"/>
        <v>FY 2029-30</v>
      </c>
      <c r="R93" s="13" t="str">
        <f t="shared" si="43"/>
        <v>FY 2030-31</v>
      </c>
      <c r="S93" s="13" t="str">
        <f t="shared" si="43"/>
        <v>FY 2031-32</v>
      </c>
      <c r="T93" s="13" t="str">
        <f t="shared" si="43"/>
        <v>FY 2032-33</v>
      </c>
      <c r="U93" s="13" t="str">
        <f t="shared" si="43"/>
        <v>FY 2033-34</v>
      </c>
      <c r="V93" s="13" t="str">
        <f t="shared" si="43"/>
        <v>FY 2034-35</v>
      </c>
      <c r="W93" s="13" t="str">
        <f t="shared" si="43"/>
        <v>FY 2035-36</v>
      </c>
      <c r="X93" s="13" t="str">
        <f t="shared" si="43"/>
        <v>FY 2036-37</v>
      </c>
      <c r="Y93" s="13" t="str">
        <f t="shared" si="43"/>
        <v>FY 2037-38</v>
      </c>
      <c r="Z93" s="13" t="str">
        <f t="shared" si="43"/>
        <v>FY 2038-39</v>
      </c>
      <c r="AA93" s="13" t="str">
        <f t="shared" si="43"/>
        <v>FY 2039-40</v>
      </c>
      <c r="AB93" s="13" t="str">
        <f t="shared" si="43"/>
        <v>FY 2040-41</v>
      </c>
      <c r="AC93" s="13" t="str">
        <f t="shared" si="43"/>
        <v>FY 2041-42</v>
      </c>
      <c r="AD93" s="13" t="str">
        <f t="shared" si="43"/>
        <v>FY 2042-43</v>
      </c>
      <c r="AE93" s="13" t="str">
        <f t="shared" si="43"/>
        <v>FY 2043-44</v>
      </c>
      <c r="AF93" s="13" t="str">
        <f t="shared" si="43"/>
        <v>FY 2044-45</v>
      </c>
      <c r="AG93" s="13" t="str">
        <f t="shared" si="43"/>
        <v>FY 2045-46</v>
      </c>
      <c r="AH93" s="13" t="str">
        <f t="shared" si="43"/>
        <v>FY 2046-47</v>
      </c>
      <c r="AI93" s="13" t="str">
        <f t="shared" si="43"/>
        <v>FY 2047-48</v>
      </c>
      <c r="AJ93" s="13" t="str">
        <f t="shared" si="43"/>
        <v>FY 2048-49</v>
      </c>
    </row>
    <row r="94" spans="2:36" x14ac:dyDescent="0.35">
      <c r="B94" s="9">
        <f>+'Option inputs'!$B$15</f>
        <v>1</v>
      </c>
      <c r="C94" s="14" t="str">
        <f>+'Option inputs'!$C$15</f>
        <v>Option 1A</v>
      </c>
      <c r="D94" s="25"/>
      <c r="E94" s="12" t="s">
        <v>35</v>
      </c>
      <c r="F94" s="18">
        <f t="shared" ref="F94:F97" si="44">NPV(DiscountRate_ACTIVE,G94:AJ94)/(1+DiscountRate_ACTIVE)^(FirstYear-BaseYear-2)</f>
        <v>26096271.043130614</v>
      </c>
      <c r="G94" s="17">
        <f>IFERROR('Option inputs'!$F15*(IF(Scenario_Select="Scenario 1",'CBA Inputs'!F$74-'CBA Inputs'!F75,0)+IF(Scenario_Select="Scenario 2",'CBA Inputs'!F$81-'CBA Inputs'!F82,0)+IF(Scenario_Select="Scenario 3",'CBA Inputs'!F$88-'CBA Inputs'!F89,0)+IF(Scenario_Select="Scenario 4",'CBA Inputs'!F$95-'CBA Inputs'!F96,0)),0)*G$31</f>
        <v>0</v>
      </c>
      <c r="H94" s="17">
        <f>IFERROR('Option inputs'!$F15*(IF(Scenario_Select="Scenario 1",'CBA Inputs'!G$74-'CBA Inputs'!G75,0)+IF(Scenario_Select="Scenario 2",'CBA Inputs'!G$81-'CBA Inputs'!G82,0)+IF(Scenario_Select="Scenario 3",'CBA Inputs'!G$88-'CBA Inputs'!G89,0)+IF(Scenario_Select="Scenario 4",'CBA Inputs'!G$95-'CBA Inputs'!G96,0)),0)*H$31</f>
        <v>9.4592198379995072</v>
      </c>
      <c r="I94" s="17">
        <f>IFERROR('Option inputs'!$F15*(IF(Scenario_Select="Scenario 1",'CBA Inputs'!H$74-'CBA Inputs'!H75,0)+IF(Scenario_Select="Scenario 2",'CBA Inputs'!H$81-'CBA Inputs'!H82,0)+IF(Scenario_Select="Scenario 3",'CBA Inputs'!H$88-'CBA Inputs'!H89,0)+IF(Scenario_Select="Scenario 4",'CBA Inputs'!H$95-'CBA Inputs'!H96,0)),0)*I$31</f>
        <v>0.78795951372646933</v>
      </c>
      <c r="J94" s="17">
        <f>IFERROR('Option inputs'!$F15*(IF(Scenario_Select="Scenario 1",'CBA Inputs'!I$74-'CBA Inputs'!I75,0)+IF(Scenario_Select="Scenario 2",'CBA Inputs'!I$81-'CBA Inputs'!I82,0)+IF(Scenario_Select="Scenario 3",'CBA Inputs'!I$88-'CBA Inputs'!I89,0)+IF(Scenario_Select="Scenario 4",'CBA Inputs'!I$95-'CBA Inputs'!I96,0)),0)*J$31</f>
        <v>0.83298097855112463</v>
      </c>
      <c r="K94" s="17">
        <f>IFERROR('Option inputs'!$F15*(IF(Scenario_Select="Scenario 1",'CBA Inputs'!J$74-'CBA Inputs'!J75,0)+IF(Scenario_Select="Scenario 2",'CBA Inputs'!J$81-'CBA Inputs'!J82,0)+IF(Scenario_Select="Scenario 3",'CBA Inputs'!J$88-'CBA Inputs'!J89,0)+IF(Scenario_Select="Scenario 4",'CBA Inputs'!J$95-'CBA Inputs'!J96,0)),0)*K$31</f>
        <v>1.7117236926688888</v>
      </c>
      <c r="L94" s="17">
        <f>IFERROR('Option inputs'!$F15*(IF(Scenario_Select="Scenario 1",'CBA Inputs'!K$74-'CBA Inputs'!K75,0)+IF(Scenario_Select="Scenario 2",'CBA Inputs'!K$81-'CBA Inputs'!K82,0)+IF(Scenario_Select="Scenario 3",'CBA Inputs'!K$88-'CBA Inputs'!K89,0)+IF(Scenario_Select="Scenario 4",'CBA Inputs'!K$95-'CBA Inputs'!K96,0)),0)*L$31</f>
        <v>1.1954557766422484</v>
      </c>
      <c r="M94" s="17">
        <f>IFERROR('Option inputs'!$F15*(IF(Scenario_Select="Scenario 1",'CBA Inputs'!L$74-'CBA Inputs'!L75,0)+IF(Scenario_Select="Scenario 2",'CBA Inputs'!L$81-'CBA Inputs'!L82,0)+IF(Scenario_Select="Scenario 3",'CBA Inputs'!L$88-'CBA Inputs'!L89,0)+IF(Scenario_Select="Scenario 4",'CBA Inputs'!L$95-'CBA Inputs'!L96,0)),0)*M$31</f>
        <v>1.2264790417364579</v>
      </c>
      <c r="N94" s="17">
        <f>IFERROR('Option inputs'!$F15*(IF(Scenario_Select="Scenario 1",'CBA Inputs'!M$74-'CBA Inputs'!M75,0)+IF(Scenario_Select="Scenario 2",'CBA Inputs'!M$81-'CBA Inputs'!M82,0)+IF(Scenario_Select="Scenario 3",'CBA Inputs'!M$88-'CBA Inputs'!M89,0)+IF(Scenario_Select="Scenario 4",'CBA Inputs'!M$95-'CBA Inputs'!M96,0)),0)*N$31</f>
        <v>1.4020568116586447</v>
      </c>
      <c r="O94" s="17">
        <f>IFERROR('Option inputs'!$F15*(IF(Scenario_Select="Scenario 1",'CBA Inputs'!N$74-'CBA Inputs'!N75,0)+IF(Scenario_Select="Scenario 2",'CBA Inputs'!N$81-'CBA Inputs'!N82,0)+IF(Scenario_Select="Scenario 3",'CBA Inputs'!N$88-'CBA Inputs'!N89,0)+IF(Scenario_Select="Scenario 4",'CBA Inputs'!N$95-'CBA Inputs'!N96,0)),0)*O$31</f>
        <v>2.1719305954212755</v>
      </c>
      <c r="P94" s="17">
        <f>IFERROR('Option inputs'!$F15*(IF(Scenario_Select="Scenario 1",'CBA Inputs'!O$74-'CBA Inputs'!O75,0)+IF(Scenario_Select="Scenario 2",'CBA Inputs'!O$81-'CBA Inputs'!O82,0)+IF(Scenario_Select="Scenario 3",'CBA Inputs'!O$88-'CBA Inputs'!O89,0)+IF(Scenario_Select="Scenario 4",'CBA Inputs'!O$95-'CBA Inputs'!O96,0)),0)*P$31</f>
        <v>35567700.858894184</v>
      </c>
      <c r="Q94" s="17">
        <f>IFERROR('Option inputs'!$F15*(IF(Scenario_Select="Scenario 1",'CBA Inputs'!P$74-'CBA Inputs'!P75,0)+IF(Scenario_Select="Scenario 2",'CBA Inputs'!P$81-'CBA Inputs'!P82,0)+IF(Scenario_Select="Scenario 3",'CBA Inputs'!P$88-'CBA Inputs'!P89,0)+IF(Scenario_Select="Scenario 4",'CBA Inputs'!P$95-'CBA Inputs'!P96,0)),0)*Q$31</f>
        <v>4.195667706212955</v>
      </c>
      <c r="R94" s="17">
        <f>IFERROR('Option inputs'!$F15*(IF(Scenario_Select="Scenario 1",'CBA Inputs'!Q$74-'CBA Inputs'!Q75,0)+IF(Scenario_Select="Scenario 2",'CBA Inputs'!Q$81-'CBA Inputs'!Q82,0)+IF(Scenario_Select="Scenario 3",'CBA Inputs'!Q$88-'CBA Inputs'!Q89,0)+IF(Scenario_Select="Scenario 4",'CBA Inputs'!Q$95-'CBA Inputs'!Q96,0)),0)*R$31</f>
        <v>0.37560016891832404</v>
      </c>
      <c r="S94" s="17">
        <f>IFERROR('Option inputs'!$F15*(IF(Scenario_Select="Scenario 1",'CBA Inputs'!R$74-'CBA Inputs'!R75,0)+IF(Scenario_Select="Scenario 2",'CBA Inputs'!R$81-'CBA Inputs'!R82,0)+IF(Scenario_Select="Scenario 3",'CBA Inputs'!R$88-'CBA Inputs'!R89,0)+IF(Scenario_Select="Scenario 4",'CBA Inputs'!R$95-'CBA Inputs'!R96,0)),0)*S$31</f>
        <v>3995069.2457342148</v>
      </c>
      <c r="T94" s="17">
        <f>IFERROR('Option inputs'!$F15*(IF(Scenario_Select="Scenario 1",'CBA Inputs'!S$74-'CBA Inputs'!S75,0)+IF(Scenario_Select="Scenario 2",'CBA Inputs'!S$81-'CBA Inputs'!S82,0)+IF(Scenario_Select="Scenario 3",'CBA Inputs'!S$88-'CBA Inputs'!S89,0)+IF(Scenario_Select="Scenario 4",'CBA Inputs'!S$95-'CBA Inputs'!S96,0)),0)*T$31</f>
        <v>-9797813.0754730105</v>
      </c>
      <c r="U94" s="17">
        <f>IFERROR('Option inputs'!$F15*(IF(Scenario_Select="Scenario 1",'CBA Inputs'!T$74-'CBA Inputs'!T75,0)+IF(Scenario_Select="Scenario 2",'CBA Inputs'!T$81-'CBA Inputs'!T82,0)+IF(Scenario_Select="Scenario 3",'CBA Inputs'!T$88-'CBA Inputs'!T89,0)+IF(Scenario_Select="Scenario 4",'CBA Inputs'!T$95-'CBA Inputs'!T96,0)),0)*U$31</f>
        <v>8865811.6128076613</v>
      </c>
      <c r="V94" s="17">
        <f>IFERROR('Option inputs'!$F15*(IF(Scenario_Select="Scenario 1",'CBA Inputs'!U$74-'CBA Inputs'!U75,0)+IF(Scenario_Select="Scenario 2",'CBA Inputs'!U$81-'CBA Inputs'!U82,0)+IF(Scenario_Select="Scenario 3",'CBA Inputs'!U$88-'CBA Inputs'!U89,0)+IF(Scenario_Select="Scenario 4",'CBA Inputs'!U$95-'CBA Inputs'!U96,0)),0)*V$31</f>
        <v>0</v>
      </c>
      <c r="W94" s="17">
        <f>IFERROR('Option inputs'!$F15*(IF(Scenario_Select="Scenario 1",'CBA Inputs'!V$74-'CBA Inputs'!V75,0)+IF(Scenario_Select="Scenario 2",'CBA Inputs'!V$81-'CBA Inputs'!V82,0)+IF(Scenario_Select="Scenario 3",'CBA Inputs'!V$88-'CBA Inputs'!V89,0)+IF(Scenario_Select="Scenario 4",'CBA Inputs'!V$95-'CBA Inputs'!V96,0)),0)*W$31</f>
        <v>35919721.164315224</v>
      </c>
      <c r="X94" s="17">
        <f>IFERROR('Option inputs'!$F15*(IF(Scenario_Select="Scenario 1",'CBA Inputs'!W$74-'CBA Inputs'!W75,0)+IF(Scenario_Select="Scenario 2",'CBA Inputs'!W$81-'CBA Inputs'!W82,0)+IF(Scenario_Select="Scenario 3",'CBA Inputs'!W$88-'CBA Inputs'!W89,0)+IF(Scenario_Select="Scenario 4",'CBA Inputs'!W$95-'CBA Inputs'!W96,0)),0)*X$31</f>
        <v>-2785265.2638478056</v>
      </c>
      <c r="Y94" s="17">
        <f>IFERROR('Option inputs'!$F15*(IF(Scenario_Select="Scenario 1",'CBA Inputs'!X$74-'CBA Inputs'!X75,0)+IF(Scenario_Select="Scenario 2",'CBA Inputs'!X$81-'CBA Inputs'!X82,0)+IF(Scenario_Select="Scenario 3",'CBA Inputs'!X$88-'CBA Inputs'!X89,0)+IF(Scenario_Select="Scenario 4",'CBA Inputs'!X$95-'CBA Inputs'!X96,0)),0)*Y$31</f>
        <v>0.3707726753815499</v>
      </c>
      <c r="Z94" s="17">
        <f>IFERROR('Option inputs'!$F15*(IF(Scenario_Select="Scenario 1",'CBA Inputs'!Y$74-'CBA Inputs'!Y75,0)+IF(Scenario_Select="Scenario 2",'CBA Inputs'!Y$81-'CBA Inputs'!Y82,0)+IF(Scenario_Select="Scenario 3",'CBA Inputs'!Y$88-'CBA Inputs'!Y89,0)+IF(Scenario_Select="Scenario 4",'CBA Inputs'!Y$95-'CBA Inputs'!Y96,0)),0)*Z$31</f>
        <v>1.6110551780573383</v>
      </c>
      <c r="AA94" s="17">
        <f>IFERROR('Option inputs'!$F15*(IF(Scenario_Select="Scenario 1",'CBA Inputs'!Z$74-'CBA Inputs'!Z75,0)+IF(Scenario_Select="Scenario 2",'CBA Inputs'!Z$81-'CBA Inputs'!Z82,0)+IF(Scenario_Select="Scenario 3",'CBA Inputs'!Z$88-'CBA Inputs'!Z89,0)+IF(Scenario_Select="Scenario 4",'CBA Inputs'!Z$95-'CBA Inputs'!Z96,0)),0)*AA$31</f>
        <v>-13321034.422757596</v>
      </c>
      <c r="AB94" s="17">
        <f>IFERROR('Option inputs'!$F15*(IF(Scenario_Select="Scenario 1",'CBA Inputs'!AA$74-'CBA Inputs'!AA75,0)+IF(Scenario_Select="Scenario 2",'CBA Inputs'!AA$81-'CBA Inputs'!AA82,0)+IF(Scenario_Select="Scenario 3",'CBA Inputs'!AA$88-'CBA Inputs'!AA89,0)+IF(Scenario_Select="Scenario 4",'CBA Inputs'!AA$95-'CBA Inputs'!AA96,0)),0)*AB$31</f>
        <v>-4654427.2227072744</v>
      </c>
      <c r="AC94" s="17">
        <f>IFERROR('Option inputs'!$F15*(IF(Scenario_Select="Scenario 1",'CBA Inputs'!AB$74-'CBA Inputs'!AB75,0)+IF(Scenario_Select="Scenario 2",'CBA Inputs'!AB$81-'CBA Inputs'!AB82,0)+IF(Scenario_Select="Scenario 3",'CBA Inputs'!AB$88-'CBA Inputs'!AB89,0)+IF(Scenario_Select="Scenario 4",'CBA Inputs'!AB$95-'CBA Inputs'!AB96,0)),0)*AC$31</f>
        <v>3.3423396932475864</v>
      </c>
      <c r="AD94" s="17">
        <f>IFERROR('Option inputs'!$F15*(IF(Scenario_Select="Scenario 1",'CBA Inputs'!AC$74-'CBA Inputs'!AC75,0)+IF(Scenario_Select="Scenario 2",'CBA Inputs'!AC$81-'CBA Inputs'!AC82,0)+IF(Scenario_Select="Scenario 3",'CBA Inputs'!AC$88-'CBA Inputs'!AC89,0)+IF(Scenario_Select="Scenario 4",'CBA Inputs'!AC$95-'CBA Inputs'!AC96,0)),0)*AD$31</f>
        <v>13275243.251173876</v>
      </c>
      <c r="AE94" s="17">
        <f>IFERROR('Option inputs'!$F15*(IF(Scenario_Select="Scenario 1",'CBA Inputs'!AD$74-'CBA Inputs'!AD75,0)+IF(Scenario_Select="Scenario 2",'CBA Inputs'!AD$81-'CBA Inputs'!AD82,0)+IF(Scenario_Select="Scenario 3",'CBA Inputs'!AD$88-'CBA Inputs'!AD89,0)+IF(Scenario_Select="Scenario 4",'CBA Inputs'!AD$95-'CBA Inputs'!AD96,0)),0)*AE$31</f>
        <v>-37155978.588137209</v>
      </c>
      <c r="AF94" s="17">
        <f>IFERROR('Option inputs'!$F15*(IF(Scenario_Select="Scenario 1",'CBA Inputs'!AE$74-'CBA Inputs'!AE75,0)+IF(Scenario_Select="Scenario 2",'CBA Inputs'!AE$81-'CBA Inputs'!AE82,0)+IF(Scenario_Select="Scenario 3",'CBA Inputs'!AE$88-'CBA Inputs'!AE89,0)+IF(Scenario_Select="Scenario 4",'CBA Inputs'!AE$95-'CBA Inputs'!AE96,0)),0)*AF$31</f>
        <v>1005314.900319675</v>
      </c>
      <c r="AG94" s="17">
        <f>IFERROR('Option inputs'!$F15*(IF(Scenario_Select="Scenario 1",'CBA Inputs'!AF$74-'CBA Inputs'!AF75,0)+IF(Scenario_Select="Scenario 2",'CBA Inputs'!AF$81-'CBA Inputs'!AF82,0)+IF(Scenario_Select="Scenario 3",'CBA Inputs'!AF$88-'CBA Inputs'!AF89,0)+IF(Scenario_Select="Scenario 4",'CBA Inputs'!AF$95-'CBA Inputs'!AF96,0)),0)*AG$31</f>
        <v>0</v>
      </c>
      <c r="AH94" s="17">
        <f>IFERROR('Option inputs'!$F15*(IF(Scenario_Select="Scenario 1",'CBA Inputs'!AG$74-'CBA Inputs'!AG75,0)+IF(Scenario_Select="Scenario 2",'CBA Inputs'!AG$81-'CBA Inputs'!AG82,0)+IF(Scenario_Select="Scenario 3",'CBA Inputs'!AG$88-'CBA Inputs'!AG89,0)+IF(Scenario_Select="Scenario 4",'CBA Inputs'!AG$95-'CBA Inputs'!AG96,0)),0)*AH$31</f>
        <v>0</v>
      </c>
      <c r="AI94" s="17">
        <f>IFERROR('Option inputs'!$F15*(IF(Scenario_Select="Scenario 1",'CBA Inputs'!AH$74-'CBA Inputs'!AH75,0)+IF(Scenario_Select="Scenario 2",'CBA Inputs'!AH$81-'CBA Inputs'!AH82,0)+IF(Scenario_Select="Scenario 3",'CBA Inputs'!AH$88-'CBA Inputs'!AH89,0)+IF(Scenario_Select="Scenario 4",'CBA Inputs'!AH$95-'CBA Inputs'!AH96,0)),0)*AI$31</f>
        <v>0</v>
      </c>
      <c r="AJ94" s="17">
        <f>IFERROR('Option inputs'!$F15*(IF(Scenario_Select="Scenario 1",'CBA Inputs'!AI$74-'CBA Inputs'!AI75,0)+IF(Scenario_Select="Scenario 2",'CBA Inputs'!AI$81-'CBA Inputs'!AI82,0)+IF(Scenario_Select="Scenario 3",'CBA Inputs'!AI$88-'CBA Inputs'!AI89,0)+IF(Scenario_Select="Scenario 4",'CBA Inputs'!AI$95-'CBA Inputs'!AI96,0)),0)*AJ$31</f>
        <v>0</v>
      </c>
    </row>
    <row r="95" spans="2:36" x14ac:dyDescent="0.35">
      <c r="B95" s="9">
        <f>+'Option inputs'!$B$16</f>
        <v>2</v>
      </c>
      <c r="C95" s="14" t="str">
        <f>+'Option inputs'!$C$16</f>
        <v>Option 1B</v>
      </c>
      <c r="D95" s="25"/>
      <c r="E95" s="12" t="s">
        <v>35</v>
      </c>
      <c r="F95" s="18">
        <f t="shared" si="44"/>
        <v>19941246.721018162</v>
      </c>
      <c r="G95" s="17">
        <f>IFERROR('Option inputs'!$F16*(IF(Scenario_Select="Scenario 1",'CBA Inputs'!F$74-'CBA Inputs'!F76,0)+IF(Scenario_Select="Scenario 2",'CBA Inputs'!F$81-'CBA Inputs'!F83,0)+IF(Scenario_Select="Scenario 3",'CBA Inputs'!F$88-'CBA Inputs'!F90,0)+IF(Scenario_Select="Scenario 4",'CBA Inputs'!F$95-'CBA Inputs'!F97,0)),0)*G$31</f>
        <v>0</v>
      </c>
      <c r="H95" s="17">
        <f>IFERROR('Option inputs'!$F16*(IF(Scenario_Select="Scenario 1",'CBA Inputs'!G$74-'CBA Inputs'!G76,0)+IF(Scenario_Select="Scenario 2",'CBA Inputs'!G$81-'CBA Inputs'!G83,0)+IF(Scenario_Select="Scenario 3",'CBA Inputs'!G$88-'CBA Inputs'!G90,0)+IF(Scenario_Select="Scenario 4",'CBA Inputs'!G$95-'CBA Inputs'!G97,0)),0)*H$31</f>
        <v>-16.420922521027517</v>
      </c>
      <c r="I95" s="17">
        <f>IFERROR('Option inputs'!$F16*(IF(Scenario_Select="Scenario 1",'CBA Inputs'!H$74-'CBA Inputs'!H76,0)+IF(Scenario_Select="Scenario 2",'CBA Inputs'!H$81-'CBA Inputs'!H83,0)+IF(Scenario_Select="Scenario 3",'CBA Inputs'!H$88-'CBA Inputs'!H90,0)+IF(Scenario_Select="Scenario 4",'CBA Inputs'!H$95-'CBA Inputs'!H97,0)),0)*I$31</f>
        <v>-1.5478763672921081</v>
      </c>
      <c r="J95" s="17">
        <f>IFERROR('Option inputs'!$F16*(IF(Scenario_Select="Scenario 1",'CBA Inputs'!I$74-'CBA Inputs'!I76,0)+IF(Scenario_Select="Scenario 2",'CBA Inputs'!I$81-'CBA Inputs'!I83,0)+IF(Scenario_Select="Scenario 3",'CBA Inputs'!I$88-'CBA Inputs'!I90,0)+IF(Scenario_Select="Scenario 4",'CBA Inputs'!I$95-'CBA Inputs'!I97,0)),0)*J$31</f>
        <v>-1.2779343609334406</v>
      </c>
      <c r="K95" s="17">
        <f>IFERROR('Option inputs'!$F16*(IF(Scenario_Select="Scenario 1",'CBA Inputs'!J$74-'CBA Inputs'!J76,0)+IF(Scenario_Select="Scenario 2",'CBA Inputs'!J$81-'CBA Inputs'!J83,0)+IF(Scenario_Select="Scenario 3",'CBA Inputs'!J$88-'CBA Inputs'!J90,0)+IF(Scenario_Select="Scenario 4",'CBA Inputs'!J$95-'CBA Inputs'!J97,0)),0)*K$31</f>
        <v>-2.8909411359672759</v>
      </c>
      <c r="L95" s="17">
        <f>IFERROR('Option inputs'!$F16*(IF(Scenario_Select="Scenario 1",'CBA Inputs'!K$74-'CBA Inputs'!K76,0)+IF(Scenario_Select="Scenario 2",'CBA Inputs'!K$81-'CBA Inputs'!K83,0)+IF(Scenario_Select="Scenario 3",'CBA Inputs'!K$88-'CBA Inputs'!K90,0)+IF(Scenario_Select="Scenario 4",'CBA Inputs'!K$95-'CBA Inputs'!K97,0)),0)*L$31</f>
        <v>-2.0708055209061236</v>
      </c>
      <c r="M95" s="17">
        <f>IFERROR('Option inputs'!$F16*(IF(Scenario_Select="Scenario 1",'CBA Inputs'!L$74-'CBA Inputs'!L76,0)+IF(Scenario_Select="Scenario 2",'CBA Inputs'!L$81-'CBA Inputs'!L83,0)+IF(Scenario_Select="Scenario 3",'CBA Inputs'!L$88-'CBA Inputs'!L90,0)+IF(Scenario_Select="Scenario 4",'CBA Inputs'!L$95-'CBA Inputs'!L97,0)),0)*M$31</f>
        <v>-2.1980956687415278</v>
      </c>
      <c r="N95" s="17">
        <f>IFERROR('Option inputs'!$F16*(IF(Scenario_Select="Scenario 1",'CBA Inputs'!M$74-'CBA Inputs'!M76,0)+IF(Scenario_Select="Scenario 2",'CBA Inputs'!M$81-'CBA Inputs'!M83,0)+IF(Scenario_Select="Scenario 3",'CBA Inputs'!M$88-'CBA Inputs'!M90,0)+IF(Scenario_Select="Scenario 4",'CBA Inputs'!M$95-'CBA Inputs'!M97,0)),0)*N$31</f>
        <v>-1.730284391063527</v>
      </c>
      <c r="O95" s="17">
        <f>IFERROR('Option inputs'!$F16*(IF(Scenario_Select="Scenario 1",'CBA Inputs'!N$74-'CBA Inputs'!N76,0)+IF(Scenario_Select="Scenario 2",'CBA Inputs'!N$81-'CBA Inputs'!N83,0)+IF(Scenario_Select="Scenario 3",'CBA Inputs'!N$88-'CBA Inputs'!N90,0)+IF(Scenario_Select="Scenario 4",'CBA Inputs'!N$95-'CBA Inputs'!N97,0)),0)*O$31</f>
        <v>-3.7910244962109396</v>
      </c>
      <c r="P95" s="17">
        <f>IFERROR('Option inputs'!$F16*(IF(Scenario_Select="Scenario 1",'CBA Inputs'!O$74-'CBA Inputs'!O76,0)+IF(Scenario_Select="Scenario 2",'CBA Inputs'!O$81-'CBA Inputs'!O83,0)+IF(Scenario_Select="Scenario 3",'CBA Inputs'!O$88-'CBA Inputs'!O90,0)+IF(Scenario_Select="Scenario 4",'CBA Inputs'!O$95-'CBA Inputs'!O97,0)),0)*P$31</f>
        <v>22087128.263019264</v>
      </c>
      <c r="Q95" s="17">
        <f>IFERROR('Option inputs'!$F16*(IF(Scenario_Select="Scenario 1",'CBA Inputs'!P$74-'CBA Inputs'!P76,0)+IF(Scenario_Select="Scenario 2",'CBA Inputs'!P$81-'CBA Inputs'!P83,0)+IF(Scenario_Select="Scenario 3",'CBA Inputs'!P$88-'CBA Inputs'!P90,0)+IF(Scenario_Select="Scenario 4",'CBA Inputs'!P$95-'CBA Inputs'!P97,0)),0)*Q$31</f>
        <v>-7.4837002731452156</v>
      </c>
      <c r="R95" s="17">
        <f>IFERROR('Option inputs'!$F16*(IF(Scenario_Select="Scenario 1",'CBA Inputs'!Q$74-'CBA Inputs'!Q76,0)+IF(Scenario_Select="Scenario 2",'CBA Inputs'!Q$81-'CBA Inputs'!Q83,0)+IF(Scenario_Select="Scenario 3",'CBA Inputs'!Q$88-'CBA Inputs'!Q90,0)+IF(Scenario_Select="Scenario 4",'CBA Inputs'!Q$95-'CBA Inputs'!Q97,0)),0)*R$31</f>
        <v>-0.686843444508212</v>
      </c>
      <c r="S95" s="17">
        <f>IFERROR('Option inputs'!$F16*(IF(Scenario_Select="Scenario 1",'CBA Inputs'!R$74-'CBA Inputs'!R76,0)+IF(Scenario_Select="Scenario 2",'CBA Inputs'!R$81-'CBA Inputs'!R83,0)+IF(Scenario_Select="Scenario 3",'CBA Inputs'!R$88-'CBA Inputs'!R90,0)+IF(Scenario_Select="Scenario 4",'CBA Inputs'!R$95-'CBA Inputs'!R97,0)),0)*S$31</f>
        <v>6940350.6148395538</v>
      </c>
      <c r="T95" s="17">
        <f>IFERROR('Option inputs'!$F16*(IF(Scenario_Select="Scenario 1",'CBA Inputs'!S$74-'CBA Inputs'!S76,0)+IF(Scenario_Select="Scenario 2",'CBA Inputs'!S$81-'CBA Inputs'!S83,0)+IF(Scenario_Select="Scenario 3",'CBA Inputs'!S$88-'CBA Inputs'!S90,0)+IF(Scenario_Select="Scenario 4",'CBA Inputs'!S$95-'CBA Inputs'!S97,0)),0)*T$31</f>
        <v>3297812.1236966252</v>
      </c>
      <c r="U95" s="17">
        <f>IFERROR('Option inputs'!$F16*(IF(Scenario_Select="Scenario 1",'CBA Inputs'!T$74-'CBA Inputs'!T76,0)+IF(Scenario_Select="Scenario 2",'CBA Inputs'!T$81-'CBA Inputs'!T83,0)+IF(Scenario_Select="Scenario 3",'CBA Inputs'!T$88-'CBA Inputs'!T90,0)+IF(Scenario_Select="Scenario 4",'CBA Inputs'!T$95-'CBA Inputs'!T97,0)),0)*U$31</f>
        <v>18245300.828155369</v>
      </c>
      <c r="V95" s="17">
        <f>IFERROR('Option inputs'!$F16*(IF(Scenario_Select="Scenario 1",'CBA Inputs'!U$74-'CBA Inputs'!U76,0)+IF(Scenario_Select="Scenario 2",'CBA Inputs'!U$81-'CBA Inputs'!U83,0)+IF(Scenario_Select="Scenario 3",'CBA Inputs'!U$88-'CBA Inputs'!U90,0)+IF(Scenario_Select="Scenario 4",'CBA Inputs'!U$95-'CBA Inputs'!U97,0)),0)*V$31</f>
        <v>-2.6035206419029774E-2</v>
      </c>
      <c r="W95" s="17">
        <f>IFERROR('Option inputs'!$F16*(IF(Scenario_Select="Scenario 1",'CBA Inputs'!V$74-'CBA Inputs'!V76,0)+IF(Scenario_Select="Scenario 2",'CBA Inputs'!V$81-'CBA Inputs'!V83,0)+IF(Scenario_Select="Scenario 3",'CBA Inputs'!V$88-'CBA Inputs'!V90,0)+IF(Scenario_Select="Scenario 4",'CBA Inputs'!V$95-'CBA Inputs'!V97,0)),0)*W$31</f>
        <v>10919011.14740634</v>
      </c>
      <c r="X95" s="17">
        <f>IFERROR('Option inputs'!$F16*(IF(Scenario_Select="Scenario 1",'CBA Inputs'!W$74-'CBA Inputs'!W76,0)+IF(Scenario_Select="Scenario 2",'CBA Inputs'!W$81-'CBA Inputs'!W83,0)+IF(Scenario_Select="Scenario 3",'CBA Inputs'!W$88-'CBA Inputs'!W90,0)+IF(Scenario_Select="Scenario 4",'CBA Inputs'!W$95-'CBA Inputs'!W97,0)),0)*X$31</f>
        <v>-17427337.718894944</v>
      </c>
      <c r="Y95" s="17">
        <f>IFERROR('Option inputs'!$F16*(IF(Scenario_Select="Scenario 1",'CBA Inputs'!X$74-'CBA Inputs'!X76,0)+IF(Scenario_Select="Scenario 2",'CBA Inputs'!X$81-'CBA Inputs'!X83,0)+IF(Scenario_Select="Scenario 3",'CBA Inputs'!X$88-'CBA Inputs'!X90,0)+IF(Scenario_Select="Scenario 4",'CBA Inputs'!X$95-'CBA Inputs'!X97,0)),0)*Y$31</f>
        <v>-0.76396007269934685</v>
      </c>
      <c r="Z95" s="17">
        <f>IFERROR('Option inputs'!$F16*(IF(Scenario_Select="Scenario 1",'CBA Inputs'!Y$74-'CBA Inputs'!Y76,0)+IF(Scenario_Select="Scenario 2",'CBA Inputs'!Y$81-'CBA Inputs'!Y83,0)+IF(Scenario_Select="Scenario 3",'CBA Inputs'!Y$88-'CBA Inputs'!Y90,0)+IF(Scenario_Select="Scenario 4",'CBA Inputs'!Y$95-'CBA Inputs'!Y97,0)),0)*Z$31</f>
        <v>-2.5311750064572425</v>
      </c>
      <c r="AA95" s="17">
        <f>IFERROR('Option inputs'!$F16*(IF(Scenario_Select="Scenario 1",'CBA Inputs'!Z$74-'CBA Inputs'!Z76,0)+IF(Scenario_Select="Scenario 2",'CBA Inputs'!Z$81-'CBA Inputs'!Z83,0)+IF(Scenario_Select="Scenario 3",'CBA Inputs'!Z$88-'CBA Inputs'!Z90,0)+IF(Scenario_Select="Scenario 4",'CBA Inputs'!Z$95-'CBA Inputs'!Z97,0)),0)*AA$31</f>
        <v>-2651073.7176079452</v>
      </c>
      <c r="AB95" s="17">
        <f>IFERROR('Option inputs'!$F16*(IF(Scenario_Select="Scenario 1",'CBA Inputs'!AA$74-'CBA Inputs'!AA76,0)+IF(Scenario_Select="Scenario 2",'CBA Inputs'!AA$81-'CBA Inputs'!AA83,0)+IF(Scenario_Select="Scenario 3",'CBA Inputs'!AA$88-'CBA Inputs'!AA90,0)+IF(Scenario_Select="Scenario 4",'CBA Inputs'!AA$95-'CBA Inputs'!AA97,0)),0)*AB$31</f>
        <v>-10369595.959024496</v>
      </c>
      <c r="AC95" s="17">
        <f>IFERROR('Option inputs'!$F16*(IF(Scenario_Select="Scenario 1",'CBA Inputs'!AB$74-'CBA Inputs'!AB76,0)+IF(Scenario_Select="Scenario 2",'CBA Inputs'!AB$81-'CBA Inputs'!AB83,0)+IF(Scenario_Select="Scenario 3",'CBA Inputs'!AB$88-'CBA Inputs'!AB90,0)+IF(Scenario_Select="Scenario 4",'CBA Inputs'!AB$95-'CBA Inputs'!AB97,0)),0)*AC$31</f>
        <v>-6.2562914069867537</v>
      </c>
      <c r="AD95" s="17">
        <f>IFERROR('Option inputs'!$F16*(IF(Scenario_Select="Scenario 1",'CBA Inputs'!AC$74-'CBA Inputs'!AC76,0)+IF(Scenario_Select="Scenario 2",'CBA Inputs'!AC$81-'CBA Inputs'!AC83,0)+IF(Scenario_Select="Scenario 3",'CBA Inputs'!AC$88-'CBA Inputs'!AC90,0)+IF(Scenario_Select="Scenario 4",'CBA Inputs'!AC$95-'CBA Inputs'!AC97,0)),0)*AD$31</f>
        <v>911593.22785841674</v>
      </c>
      <c r="AE95" s="17">
        <f>IFERROR('Option inputs'!$F16*(IF(Scenario_Select="Scenario 1",'CBA Inputs'!AD$74-'CBA Inputs'!AD76,0)+IF(Scenario_Select="Scenario 2",'CBA Inputs'!AD$81-'CBA Inputs'!AD83,0)+IF(Scenario_Select="Scenario 3",'CBA Inputs'!AD$88-'CBA Inputs'!AD90,0)+IF(Scenario_Select="Scenario 4",'CBA Inputs'!AD$95-'CBA Inputs'!AD97,0)),0)*AE$31</f>
        <v>-6752600.9049832821</v>
      </c>
      <c r="AF95" s="17">
        <f>IFERROR('Option inputs'!$F16*(IF(Scenario_Select="Scenario 1",'CBA Inputs'!AE$74-'CBA Inputs'!AE76,0)+IF(Scenario_Select="Scenario 2",'CBA Inputs'!AE$81-'CBA Inputs'!AE83,0)+IF(Scenario_Select="Scenario 3",'CBA Inputs'!AE$88-'CBA Inputs'!AE90,0)+IF(Scenario_Select="Scenario 4",'CBA Inputs'!AE$95-'CBA Inputs'!AE97,0)),0)*AF$31</f>
        <v>181217.76654951088</v>
      </c>
      <c r="AG95" s="17">
        <f>IFERROR('Option inputs'!$F16*(IF(Scenario_Select="Scenario 1",'CBA Inputs'!AF$74-'CBA Inputs'!AF76,0)+IF(Scenario_Select="Scenario 2",'CBA Inputs'!AF$81-'CBA Inputs'!AF83,0)+IF(Scenario_Select="Scenario 3",'CBA Inputs'!AF$88-'CBA Inputs'!AF90,0)+IF(Scenario_Select="Scenario 4",'CBA Inputs'!AF$95-'CBA Inputs'!AF97,0)),0)*AG$31</f>
        <v>0</v>
      </c>
      <c r="AH95" s="17">
        <f>IFERROR('Option inputs'!$F16*(IF(Scenario_Select="Scenario 1",'CBA Inputs'!AG$74-'CBA Inputs'!AG76,0)+IF(Scenario_Select="Scenario 2",'CBA Inputs'!AG$81-'CBA Inputs'!AG83,0)+IF(Scenario_Select="Scenario 3",'CBA Inputs'!AG$88-'CBA Inputs'!AG90,0)+IF(Scenario_Select="Scenario 4",'CBA Inputs'!AG$95-'CBA Inputs'!AG97,0)),0)*AH$31</f>
        <v>0</v>
      </c>
      <c r="AI95" s="17">
        <f>IFERROR('Option inputs'!$F16*(IF(Scenario_Select="Scenario 1",'CBA Inputs'!AH$74-'CBA Inputs'!AH76,0)+IF(Scenario_Select="Scenario 2",'CBA Inputs'!AH$81-'CBA Inputs'!AH83,0)+IF(Scenario_Select="Scenario 3",'CBA Inputs'!AH$88-'CBA Inputs'!AH90,0)+IF(Scenario_Select="Scenario 4",'CBA Inputs'!AH$95-'CBA Inputs'!AH97,0)),0)*AI$31</f>
        <v>0</v>
      </c>
      <c r="AJ95" s="17">
        <f>IFERROR('Option inputs'!$F16*(IF(Scenario_Select="Scenario 1",'CBA Inputs'!AI$74-'CBA Inputs'!AI76,0)+IF(Scenario_Select="Scenario 2",'CBA Inputs'!AI$81-'CBA Inputs'!AI83,0)+IF(Scenario_Select="Scenario 3",'CBA Inputs'!AI$88-'CBA Inputs'!AI90,0)+IF(Scenario_Select="Scenario 4",'CBA Inputs'!AI$95-'CBA Inputs'!AI97,0)),0)*AJ$31</f>
        <v>0</v>
      </c>
    </row>
    <row r="96" spans="2:36" x14ac:dyDescent="0.35">
      <c r="B96" s="9">
        <f>+'Option inputs'!$B$17</f>
        <v>3</v>
      </c>
      <c r="C96" s="14" t="str">
        <f>+'Option inputs'!$C$17</f>
        <v>Option 1C</v>
      </c>
      <c r="D96" s="25"/>
      <c r="E96" s="12" t="s">
        <v>35</v>
      </c>
      <c r="F96" s="18">
        <f t="shared" si="44"/>
        <v>-1475020.6571979159</v>
      </c>
      <c r="G96" s="17">
        <f>IFERROR('Option inputs'!$F17*(IF(Scenario_Select="Scenario 1",'CBA Inputs'!F$74-'CBA Inputs'!F77,0)+IF(Scenario_Select="Scenario 2",'CBA Inputs'!F$81-'CBA Inputs'!F84,0)+IF(Scenario_Select="Scenario 3",'CBA Inputs'!F$88-'CBA Inputs'!F91,0)+IF(Scenario_Select="Scenario 4",'CBA Inputs'!F$95-'CBA Inputs'!F98,0)),0)*G$31</f>
        <v>0</v>
      </c>
      <c r="H96" s="17">
        <f>IFERROR('Option inputs'!$F17*(IF(Scenario_Select="Scenario 1",'CBA Inputs'!G$74-'CBA Inputs'!G77,0)+IF(Scenario_Select="Scenario 2",'CBA Inputs'!G$81-'CBA Inputs'!G84,0)+IF(Scenario_Select="Scenario 3",'CBA Inputs'!G$88-'CBA Inputs'!G91,0)+IF(Scenario_Select="Scenario 4",'CBA Inputs'!G$95-'CBA Inputs'!G98,0)),0)*H$31</f>
        <v>8.346039515571416</v>
      </c>
      <c r="I96" s="17">
        <f>IFERROR('Option inputs'!$F17*(IF(Scenario_Select="Scenario 1",'CBA Inputs'!H$74-'CBA Inputs'!H77,0)+IF(Scenario_Select="Scenario 2",'CBA Inputs'!H$81-'CBA Inputs'!H84,0)+IF(Scenario_Select="Scenario 3",'CBA Inputs'!H$88-'CBA Inputs'!H91,0)+IF(Scenario_Select="Scenario 4",'CBA Inputs'!H$95-'CBA Inputs'!H98,0)),0)*I$31</f>
        <v>0.69083092738657192</v>
      </c>
      <c r="J96" s="17">
        <f>IFERROR('Option inputs'!$F17*(IF(Scenario_Select="Scenario 1",'CBA Inputs'!I$74-'CBA Inputs'!I77,0)+IF(Scenario_Select="Scenario 2",'CBA Inputs'!I$81-'CBA Inputs'!I84,0)+IF(Scenario_Select="Scenario 3",'CBA Inputs'!I$88-'CBA Inputs'!I91,0)+IF(Scenario_Select="Scenario 4",'CBA Inputs'!I$95-'CBA Inputs'!I98,0)),0)*J$31</f>
        <v>0.65910080522825698</v>
      </c>
      <c r="K96" s="17">
        <f>IFERROR('Option inputs'!$F17*(IF(Scenario_Select="Scenario 1",'CBA Inputs'!J$74-'CBA Inputs'!J77,0)+IF(Scenario_Select="Scenario 2",'CBA Inputs'!J$81-'CBA Inputs'!J84,0)+IF(Scenario_Select="Scenario 3",'CBA Inputs'!J$88-'CBA Inputs'!J91,0)+IF(Scenario_Select="Scenario 4",'CBA Inputs'!J$95-'CBA Inputs'!J98,0)),0)*K$31</f>
        <v>1.5918070676626956</v>
      </c>
      <c r="L96" s="17">
        <f>IFERROR('Option inputs'!$F17*(IF(Scenario_Select="Scenario 1",'CBA Inputs'!K$74-'CBA Inputs'!K77,0)+IF(Scenario_Select="Scenario 2",'CBA Inputs'!K$81-'CBA Inputs'!K84,0)+IF(Scenario_Select="Scenario 3",'CBA Inputs'!K$88-'CBA Inputs'!K91,0)+IF(Scenario_Select="Scenario 4",'CBA Inputs'!K$95-'CBA Inputs'!K98,0)),0)*L$31</f>
        <v>1.0520020691369154</v>
      </c>
      <c r="M96" s="17">
        <f>IFERROR('Option inputs'!$F17*(IF(Scenario_Select="Scenario 1",'CBA Inputs'!L$74-'CBA Inputs'!L77,0)+IF(Scenario_Select="Scenario 2",'CBA Inputs'!L$81-'CBA Inputs'!L84,0)+IF(Scenario_Select="Scenario 3",'CBA Inputs'!L$88-'CBA Inputs'!L91,0)+IF(Scenario_Select="Scenario 4",'CBA Inputs'!L$95-'CBA Inputs'!L98,0)),0)*M$31</f>
        <v>1.1116945830727185</v>
      </c>
      <c r="N96" s="17">
        <f>IFERROR('Option inputs'!$F17*(IF(Scenario_Select="Scenario 1",'CBA Inputs'!M$74-'CBA Inputs'!M77,0)+IF(Scenario_Select="Scenario 2",'CBA Inputs'!M$81-'CBA Inputs'!M84,0)+IF(Scenario_Select="Scenario 3",'CBA Inputs'!M$88-'CBA Inputs'!M91,0)+IF(Scenario_Select="Scenario 4",'CBA Inputs'!M$95-'CBA Inputs'!M98,0)),0)*N$31</f>
        <v>1.1530451913650279</v>
      </c>
      <c r="O96" s="17">
        <f>IFERROR('Option inputs'!$F17*(IF(Scenario_Select="Scenario 1",'CBA Inputs'!N$74-'CBA Inputs'!N77,0)+IF(Scenario_Select="Scenario 2",'CBA Inputs'!N$81-'CBA Inputs'!N84,0)+IF(Scenario_Select="Scenario 3",'CBA Inputs'!N$88-'CBA Inputs'!N91,0)+IF(Scenario_Select="Scenario 4",'CBA Inputs'!N$95-'CBA Inputs'!N98,0)),0)*O$31</f>
        <v>1.9294310855015024</v>
      </c>
      <c r="P96" s="17">
        <f>IFERROR('Option inputs'!$F17*(IF(Scenario_Select="Scenario 1",'CBA Inputs'!O$74-'CBA Inputs'!O77,0)+IF(Scenario_Select="Scenario 2",'CBA Inputs'!O$81-'CBA Inputs'!O84,0)+IF(Scenario_Select="Scenario 3",'CBA Inputs'!O$88-'CBA Inputs'!O91,0)+IF(Scenario_Select="Scenario 4",'CBA Inputs'!O$95-'CBA Inputs'!O98,0)),0)*P$31</f>
        <v>-3293358.0426269472</v>
      </c>
      <c r="Q96" s="17">
        <f>IFERROR('Option inputs'!$F17*(IF(Scenario_Select="Scenario 1",'CBA Inputs'!P$74-'CBA Inputs'!P77,0)+IF(Scenario_Select="Scenario 2",'CBA Inputs'!P$81-'CBA Inputs'!P84,0)+IF(Scenario_Select="Scenario 3",'CBA Inputs'!P$88-'CBA Inputs'!P91,0)+IF(Scenario_Select="Scenario 4",'CBA Inputs'!P$95-'CBA Inputs'!P98,0)),0)*Q$31</f>
        <v>3.7174454929350169</v>
      </c>
      <c r="R96" s="17">
        <f>IFERROR('Option inputs'!$F17*(IF(Scenario_Select="Scenario 1",'CBA Inputs'!Q$74-'CBA Inputs'!Q77,0)+IF(Scenario_Select="Scenario 2",'CBA Inputs'!Q$81-'CBA Inputs'!Q84,0)+IF(Scenario_Select="Scenario 3",'CBA Inputs'!Q$88-'CBA Inputs'!Q91,0)+IF(Scenario_Select="Scenario 4",'CBA Inputs'!Q$95-'CBA Inputs'!Q98,0)),0)*R$31</f>
        <v>0.37877581536912425</v>
      </c>
      <c r="S96" s="17">
        <f>IFERROR('Option inputs'!$F17*(IF(Scenario_Select="Scenario 1",'CBA Inputs'!R$74-'CBA Inputs'!R77,0)+IF(Scenario_Select="Scenario 2",'CBA Inputs'!R$81-'CBA Inputs'!R84,0)+IF(Scenario_Select="Scenario 3",'CBA Inputs'!R$88-'CBA Inputs'!R91,0)+IF(Scenario_Select="Scenario 4",'CBA Inputs'!R$95-'CBA Inputs'!R98,0)),0)*S$31</f>
        <v>19553652.357025862</v>
      </c>
      <c r="T96" s="17">
        <f>IFERROR('Option inputs'!$F17*(IF(Scenario_Select="Scenario 1",'CBA Inputs'!S$74-'CBA Inputs'!S77,0)+IF(Scenario_Select="Scenario 2",'CBA Inputs'!S$81-'CBA Inputs'!S84,0)+IF(Scenario_Select="Scenario 3",'CBA Inputs'!S$88-'CBA Inputs'!S91,0)+IF(Scenario_Select="Scenario 4",'CBA Inputs'!S$95-'CBA Inputs'!S98,0)),0)*T$31</f>
        <v>-8824326.6897397339</v>
      </c>
      <c r="U96" s="17">
        <f>IFERROR('Option inputs'!$F17*(IF(Scenario_Select="Scenario 1",'CBA Inputs'!T$74-'CBA Inputs'!T77,0)+IF(Scenario_Select="Scenario 2",'CBA Inputs'!T$81-'CBA Inputs'!T84,0)+IF(Scenario_Select="Scenario 3",'CBA Inputs'!T$88-'CBA Inputs'!T91,0)+IF(Scenario_Select="Scenario 4",'CBA Inputs'!T$95-'CBA Inputs'!T98,0)),0)*U$31</f>
        <v>-5921616.8765692115</v>
      </c>
      <c r="V96" s="17">
        <f>IFERROR('Option inputs'!$F17*(IF(Scenario_Select="Scenario 1",'CBA Inputs'!U$74-'CBA Inputs'!U77,0)+IF(Scenario_Select="Scenario 2",'CBA Inputs'!U$81-'CBA Inputs'!U84,0)+IF(Scenario_Select="Scenario 3",'CBA Inputs'!U$88-'CBA Inputs'!U91,0)+IF(Scenario_Select="Scenario 4",'CBA Inputs'!U$95-'CBA Inputs'!U98,0)),0)*V$31</f>
        <v>0</v>
      </c>
      <c r="W96" s="17">
        <f>IFERROR('Option inputs'!$F17*(IF(Scenario_Select="Scenario 1",'CBA Inputs'!V$74-'CBA Inputs'!V77,0)+IF(Scenario_Select="Scenario 2",'CBA Inputs'!V$81-'CBA Inputs'!V84,0)+IF(Scenario_Select="Scenario 3",'CBA Inputs'!V$88-'CBA Inputs'!V91,0)+IF(Scenario_Select="Scenario 4",'CBA Inputs'!V$95-'CBA Inputs'!V98,0)),0)*W$31</f>
        <v>-1149007.5922760963</v>
      </c>
      <c r="X96" s="17">
        <f>IFERROR('Option inputs'!$F17*(IF(Scenario_Select="Scenario 1",'CBA Inputs'!W$74-'CBA Inputs'!W77,0)+IF(Scenario_Select="Scenario 2",'CBA Inputs'!W$81-'CBA Inputs'!W84,0)+IF(Scenario_Select="Scenario 3",'CBA Inputs'!W$88-'CBA Inputs'!W91,0)+IF(Scenario_Select="Scenario 4",'CBA Inputs'!W$95-'CBA Inputs'!W98,0)),0)*X$31</f>
        <v>-2148078.5402775463</v>
      </c>
      <c r="Y96" s="17">
        <f>IFERROR('Option inputs'!$F17*(IF(Scenario_Select="Scenario 1",'CBA Inputs'!X$74-'CBA Inputs'!X77,0)+IF(Scenario_Select="Scenario 2",'CBA Inputs'!X$81-'CBA Inputs'!X84,0)+IF(Scenario_Select="Scenario 3",'CBA Inputs'!X$88-'CBA Inputs'!X91,0)+IF(Scenario_Select="Scenario 4",'CBA Inputs'!X$95-'CBA Inputs'!X98,0)),0)*Y$31</f>
        <v>0.3670506027550014</v>
      </c>
      <c r="Z96" s="17">
        <f>IFERROR('Option inputs'!$F17*(IF(Scenario_Select="Scenario 1",'CBA Inputs'!Y$74-'CBA Inputs'!Y77,0)+IF(Scenario_Select="Scenario 2",'CBA Inputs'!Y$81-'CBA Inputs'!Y84,0)+IF(Scenario_Select="Scenario 3",'CBA Inputs'!Y$88-'CBA Inputs'!Y91,0)+IF(Scenario_Select="Scenario 4",'CBA Inputs'!Y$95-'CBA Inputs'!Y98,0)),0)*Z$31</f>
        <v>1.3704100617226846</v>
      </c>
      <c r="AA96" s="17">
        <f>IFERROR('Option inputs'!$F17*(IF(Scenario_Select="Scenario 1",'CBA Inputs'!Z$74-'CBA Inputs'!Z77,0)+IF(Scenario_Select="Scenario 2",'CBA Inputs'!Z$81-'CBA Inputs'!Z84,0)+IF(Scenario_Select="Scenario 3",'CBA Inputs'!Z$88-'CBA Inputs'!Z91,0)+IF(Scenario_Select="Scenario 4",'CBA Inputs'!Z$95-'CBA Inputs'!Z98,0)),0)*AA$31</f>
        <v>684841.50336506963</v>
      </c>
      <c r="AB96" s="17">
        <f>IFERROR('Option inputs'!$F17*(IF(Scenario_Select="Scenario 1",'CBA Inputs'!AA$74-'CBA Inputs'!AA77,0)+IF(Scenario_Select="Scenario 2",'CBA Inputs'!AA$81-'CBA Inputs'!AA84,0)+IF(Scenario_Select="Scenario 3",'CBA Inputs'!AA$88-'CBA Inputs'!AA91,0)+IF(Scenario_Select="Scenario 4",'CBA Inputs'!AA$95-'CBA Inputs'!AA98,0)),0)*AB$31</f>
        <v>0.73167126589156706</v>
      </c>
      <c r="AC96" s="17">
        <f>IFERROR('Option inputs'!$F17*(IF(Scenario_Select="Scenario 1",'CBA Inputs'!AB$74-'CBA Inputs'!AB77,0)+IF(Scenario_Select="Scenario 2",'CBA Inputs'!AB$81-'CBA Inputs'!AB84,0)+IF(Scenario_Select="Scenario 3",'CBA Inputs'!AB$88-'CBA Inputs'!AB91,0)+IF(Scenario_Select="Scenario 4",'CBA Inputs'!AB$95-'CBA Inputs'!AB98,0)),0)*AC$31</f>
        <v>2.7604676239164805</v>
      </c>
      <c r="AD96" s="17">
        <f>IFERROR('Option inputs'!$F17*(IF(Scenario_Select="Scenario 1",'CBA Inputs'!AC$74-'CBA Inputs'!AC77,0)+IF(Scenario_Select="Scenario 2",'CBA Inputs'!AC$81-'CBA Inputs'!AC84,0)+IF(Scenario_Select="Scenario 3",'CBA Inputs'!AC$88-'CBA Inputs'!AC91,0)+IF(Scenario_Select="Scenario 4",'CBA Inputs'!AC$95-'CBA Inputs'!AC98,0)),0)*AD$31</f>
        <v>6757394.7449520081</v>
      </c>
      <c r="AE96" s="17">
        <f>IFERROR('Option inputs'!$F17*(IF(Scenario_Select="Scenario 1",'CBA Inputs'!AD$74-'CBA Inputs'!AD77,0)+IF(Scenario_Select="Scenario 2",'CBA Inputs'!AD$81-'CBA Inputs'!AD84,0)+IF(Scenario_Select="Scenario 3",'CBA Inputs'!AD$88-'CBA Inputs'!AD91,0)+IF(Scenario_Select="Scenario 4",'CBA Inputs'!AD$95-'CBA Inputs'!AD98,0)),0)*AE$31</f>
        <v>-13447129.046586782</v>
      </c>
      <c r="AF96" s="17">
        <f>IFERROR('Option inputs'!$F17*(IF(Scenario_Select="Scenario 1",'CBA Inputs'!AE$74-'CBA Inputs'!AE77,0)+IF(Scenario_Select="Scenario 2",'CBA Inputs'!AE$81-'CBA Inputs'!AE84,0)+IF(Scenario_Select="Scenario 3",'CBA Inputs'!AE$88-'CBA Inputs'!AE91,0)+IF(Scenario_Select="Scenario 4",'CBA Inputs'!AE$95-'CBA Inputs'!AE98,0)),0)*AF$31</f>
        <v>958414.27201165445</v>
      </c>
      <c r="AG96" s="17">
        <f>IFERROR('Option inputs'!$F17*(IF(Scenario_Select="Scenario 1",'CBA Inputs'!AF$74-'CBA Inputs'!AF77,0)+IF(Scenario_Select="Scenario 2",'CBA Inputs'!AF$81-'CBA Inputs'!AF84,0)+IF(Scenario_Select="Scenario 3",'CBA Inputs'!AF$88-'CBA Inputs'!AF91,0)+IF(Scenario_Select="Scenario 4",'CBA Inputs'!AF$95-'CBA Inputs'!AF98,0)),0)*AG$31</f>
        <v>0</v>
      </c>
      <c r="AH96" s="17">
        <f>IFERROR('Option inputs'!$F17*(IF(Scenario_Select="Scenario 1",'CBA Inputs'!AG$74-'CBA Inputs'!AG77,0)+IF(Scenario_Select="Scenario 2",'CBA Inputs'!AG$81-'CBA Inputs'!AG84,0)+IF(Scenario_Select="Scenario 3",'CBA Inputs'!AG$88-'CBA Inputs'!AG91,0)+IF(Scenario_Select="Scenario 4",'CBA Inputs'!AG$95-'CBA Inputs'!AG98,0)),0)*AH$31</f>
        <v>0</v>
      </c>
      <c r="AI96" s="17">
        <f>IFERROR('Option inputs'!$F17*(IF(Scenario_Select="Scenario 1",'CBA Inputs'!AH$74-'CBA Inputs'!AH77,0)+IF(Scenario_Select="Scenario 2",'CBA Inputs'!AH$81-'CBA Inputs'!AH84,0)+IF(Scenario_Select="Scenario 3",'CBA Inputs'!AH$88-'CBA Inputs'!AH91,0)+IF(Scenario_Select="Scenario 4",'CBA Inputs'!AH$95-'CBA Inputs'!AH98,0)),0)*AI$31</f>
        <v>0</v>
      </c>
      <c r="AJ96" s="17">
        <f>IFERROR('Option inputs'!$F17*(IF(Scenario_Select="Scenario 1",'CBA Inputs'!AI$74-'CBA Inputs'!AI77,0)+IF(Scenario_Select="Scenario 2",'CBA Inputs'!AI$81-'CBA Inputs'!AI84,0)+IF(Scenario_Select="Scenario 3",'CBA Inputs'!AI$88-'CBA Inputs'!AI91,0)+IF(Scenario_Select="Scenario 4",'CBA Inputs'!AI$95-'CBA Inputs'!AI98,0)),0)*AJ$31</f>
        <v>0</v>
      </c>
    </row>
    <row r="97" spans="2:36" x14ac:dyDescent="0.35">
      <c r="B97" s="9">
        <f>+'Option inputs'!$B$18</f>
        <v>4</v>
      </c>
      <c r="C97" s="14" t="str">
        <f>+'Option inputs'!$C$18</f>
        <v>Option 1D</v>
      </c>
      <c r="D97" s="25"/>
      <c r="E97" s="12" t="s">
        <v>35</v>
      </c>
      <c r="F97" s="18">
        <f t="shared" si="44"/>
        <v>-1044279.0362697167</v>
      </c>
      <c r="G97" s="17">
        <f>IFERROR('Option inputs'!$F18*(IF(Scenario_Select="Scenario 1",'CBA Inputs'!F$74-'CBA Inputs'!F78,0)+IF(Scenario_Select="Scenario 2",'CBA Inputs'!F$81-'CBA Inputs'!F85,0)+IF(Scenario_Select="Scenario 3",'CBA Inputs'!F$88-'CBA Inputs'!F92,0)+IF(Scenario_Select="Scenario 4",'CBA Inputs'!F$95-'CBA Inputs'!F99,0)),0)*G$31</f>
        <v>0</v>
      </c>
      <c r="H97" s="17">
        <f>IFERROR('Option inputs'!$F18*(IF(Scenario_Select="Scenario 1",'CBA Inputs'!G$74-'CBA Inputs'!G78,0)+IF(Scenario_Select="Scenario 2",'CBA Inputs'!G$81-'CBA Inputs'!G85,0)+IF(Scenario_Select="Scenario 3",'CBA Inputs'!G$88-'CBA Inputs'!G92,0)+IF(Scenario_Select="Scenario 4",'CBA Inputs'!G$95-'CBA Inputs'!G99,0)),0)*H$31</f>
        <v>9.8542510867672526</v>
      </c>
      <c r="I97" s="17">
        <f>IFERROR('Option inputs'!$F18*(IF(Scenario_Select="Scenario 1",'CBA Inputs'!H$74-'CBA Inputs'!H78,0)+IF(Scenario_Select="Scenario 2",'CBA Inputs'!H$81-'CBA Inputs'!H85,0)+IF(Scenario_Select="Scenario 3",'CBA Inputs'!H$88-'CBA Inputs'!H92,0)+IF(Scenario_Select="Scenario 4",'CBA Inputs'!H$95-'CBA Inputs'!H99,0)),0)*I$31</f>
        <v>0.90259472720674172</v>
      </c>
      <c r="J97" s="17">
        <f>IFERROR('Option inputs'!$F18*(IF(Scenario_Select="Scenario 1",'CBA Inputs'!I$74-'CBA Inputs'!I78,0)+IF(Scenario_Select="Scenario 2",'CBA Inputs'!I$81-'CBA Inputs'!I85,0)+IF(Scenario_Select="Scenario 3",'CBA Inputs'!I$88-'CBA Inputs'!I92,0)+IF(Scenario_Select="Scenario 4",'CBA Inputs'!I$95-'CBA Inputs'!I99,0)),0)*J$31</f>
        <v>0.91398957709790418</v>
      </c>
      <c r="K97" s="17">
        <f>IFERROR('Option inputs'!$F18*(IF(Scenario_Select="Scenario 1",'CBA Inputs'!J$74-'CBA Inputs'!J78,0)+IF(Scenario_Select="Scenario 2",'CBA Inputs'!J$81-'CBA Inputs'!J85,0)+IF(Scenario_Select="Scenario 3",'CBA Inputs'!J$88-'CBA Inputs'!J92,0)+IF(Scenario_Select="Scenario 4",'CBA Inputs'!J$95-'CBA Inputs'!J99,0)),0)*K$31</f>
        <v>1.8580050101603021</v>
      </c>
      <c r="L97" s="17">
        <f>IFERROR('Option inputs'!$F18*(IF(Scenario_Select="Scenario 1",'CBA Inputs'!K$74-'CBA Inputs'!K78,0)+IF(Scenario_Select="Scenario 2",'CBA Inputs'!K$81-'CBA Inputs'!K85,0)+IF(Scenario_Select="Scenario 3",'CBA Inputs'!K$88-'CBA Inputs'!K92,0)+IF(Scenario_Select="Scenario 4",'CBA Inputs'!K$95-'CBA Inputs'!K99,0)),0)*L$31</f>
        <v>1.2423954116904132</v>
      </c>
      <c r="M97" s="17">
        <f>IFERROR('Option inputs'!$F18*(IF(Scenario_Select="Scenario 1",'CBA Inputs'!L$74-'CBA Inputs'!L78,0)+IF(Scenario_Select="Scenario 2",'CBA Inputs'!L$81-'CBA Inputs'!L85,0)+IF(Scenario_Select="Scenario 3",'CBA Inputs'!L$88-'CBA Inputs'!L92,0)+IF(Scenario_Select="Scenario 4",'CBA Inputs'!L$95-'CBA Inputs'!L99,0)),0)*M$31</f>
        <v>1.3078355038229157</v>
      </c>
      <c r="N97" s="17">
        <f>IFERROR('Option inputs'!$F18*(IF(Scenario_Select="Scenario 1",'CBA Inputs'!M$74-'CBA Inputs'!M78,0)+IF(Scenario_Select="Scenario 2",'CBA Inputs'!M$81-'CBA Inputs'!M85,0)+IF(Scenario_Select="Scenario 3",'CBA Inputs'!M$88-'CBA Inputs'!M92,0)+IF(Scenario_Select="Scenario 4",'CBA Inputs'!M$95-'CBA Inputs'!M99,0)),0)*N$31</f>
        <v>1.3451167316540782</v>
      </c>
      <c r="O97" s="17">
        <f>IFERROR('Option inputs'!$F18*(IF(Scenario_Select="Scenario 1",'CBA Inputs'!N$74-'CBA Inputs'!N78,0)+IF(Scenario_Select="Scenario 2",'CBA Inputs'!N$81-'CBA Inputs'!N85,0)+IF(Scenario_Select="Scenario 3",'CBA Inputs'!N$88-'CBA Inputs'!N92,0)+IF(Scenario_Select="Scenario 4",'CBA Inputs'!N$95-'CBA Inputs'!N99,0)),0)*O$31</f>
        <v>2.2565656816809887</v>
      </c>
      <c r="P97" s="17">
        <f>IFERROR('Option inputs'!$F18*(IF(Scenario_Select="Scenario 1",'CBA Inputs'!O$74-'CBA Inputs'!O78,0)+IF(Scenario_Select="Scenario 2",'CBA Inputs'!O$81-'CBA Inputs'!O85,0)+IF(Scenario_Select="Scenario 3",'CBA Inputs'!O$88-'CBA Inputs'!O92,0)+IF(Scenario_Select="Scenario 4",'CBA Inputs'!O$95-'CBA Inputs'!O99,0)),0)*P$31</f>
        <v>-3296732.4942474961</v>
      </c>
      <c r="Q97" s="17">
        <f>IFERROR('Option inputs'!$F18*(IF(Scenario_Select="Scenario 1",'CBA Inputs'!P$74-'CBA Inputs'!P78,0)+IF(Scenario_Select="Scenario 2",'CBA Inputs'!P$81-'CBA Inputs'!P85,0)+IF(Scenario_Select="Scenario 3",'CBA Inputs'!P$88-'CBA Inputs'!P92,0)+IF(Scenario_Select="Scenario 4",'CBA Inputs'!P$95-'CBA Inputs'!P99,0)),0)*Q$31</f>
        <v>4.4149920835338978</v>
      </c>
      <c r="R97" s="17">
        <f>IFERROR('Option inputs'!$F18*(IF(Scenario_Select="Scenario 1",'CBA Inputs'!Q$74-'CBA Inputs'!Q78,0)+IF(Scenario_Select="Scenario 2",'CBA Inputs'!Q$81-'CBA Inputs'!Q85,0)+IF(Scenario_Select="Scenario 3",'CBA Inputs'!Q$88-'CBA Inputs'!Q92,0)+IF(Scenario_Select="Scenario 4",'CBA Inputs'!Q$95-'CBA Inputs'!Q99,0)),0)*R$31</f>
        <v>0.44986588478022399</v>
      </c>
      <c r="S97" s="17">
        <f>IFERROR('Option inputs'!$F18*(IF(Scenario_Select="Scenario 1",'CBA Inputs'!R$74-'CBA Inputs'!R78,0)+IF(Scenario_Select="Scenario 2",'CBA Inputs'!R$81-'CBA Inputs'!R85,0)+IF(Scenario_Select="Scenario 3",'CBA Inputs'!R$88-'CBA Inputs'!R92,0)+IF(Scenario_Select="Scenario 4",'CBA Inputs'!R$95-'CBA Inputs'!R99,0)),0)*S$31</f>
        <v>11295151.652866125</v>
      </c>
      <c r="T97" s="17">
        <f>IFERROR('Option inputs'!$F18*(IF(Scenario_Select="Scenario 1",'CBA Inputs'!S$74-'CBA Inputs'!S78,0)+IF(Scenario_Select="Scenario 2",'CBA Inputs'!S$81-'CBA Inputs'!S85,0)+IF(Scenario_Select="Scenario 3",'CBA Inputs'!S$88-'CBA Inputs'!S92,0)+IF(Scenario_Select="Scenario 4",'CBA Inputs'!S$95-'CBA Inputs'!S99,0)),0)*T$31</f>
        <v>2501864.5794292986</v>
      </c>
      <c r="U97" s="17">
        <f>IFERROR('Option inputs'!$F18*(IF(Scenario_Select="Scenario 1",'CBA Inputs'!T$74-'CBA Inputs'!T78,0)+IF(Scenario_Select="Scenario 2",'CBA Inputs'!T$81-'CBA Inputs'!T85,0)+IF(Scenario_Select="Scenario 3",'CBA Inputs'!T$88-'CBA Inputs'!T92,0)+IF(Scenario_Select="Scenario 4",'CBA Inputs'!T$95-'CBA Inputs'!T99,0)),0)*U$31</f>
        <v>-1302093.3418249786</v>
      </c>
      <c r="V97" s="17">
        <f>IFERROR('Option inputs'!$F18*(IF(Scenario_Select="Scenario 1",'CBA Inputs'!U$74-'CBA Inputs'!U78,0)+IF(Scenario_Select="Scenario 2",'CBA Inputs'!U$81-'CBA Inputs'!U85,0)+IF(Scenario_Select="Scenario 3",'CBA Inputs'!U$88-'CBA Inputs'!U92,0)+IF(Scenario_Select="Scenario 4",'CBA Inputs'!U$95-'CBA Inputs'!U99,0)),0)*V$31</f>
        <v>0</v>
      </c>
      <c r="W97" s="17">
        <f>IFERROR('Option inputs'!$F18*(IF(Scenario_Select="Scenario 1",'CBA Inputs'!V$74-'CBA Inputs'!V78,0)+IF(Scenario_Select="Scenario 2",'CBA Inputs'!V$81-'CBA Inputs'!V85,0)+IF(Scenario_Select="Scenario 3",'CBA Inputs'!V$88-'CBA Inputs'!V92,0)+IF(Scenario_Select="Scenario 4",'CBA Inputs'!V$95-'CBA Inputs'!V99,0)),0)*W$31</f>
        <v>-7298380.582890749</v>
      </c>
      <c r="X97" s="17">
        <f>IFERROR('Option inputs'!$F18*(IF(Scenario_Select="Scenario 1",'CBA Inputs'!W$74-'CBA Inputs'!W78,0)+IF(Scenario_Select="Scenario 2",'CBA Inputs'!W$81-'CBA Inputs'!W85,0)+IF(Scenario_Select="Scenario 3",'CBA Inputs'!W$88-'CBA Inputs'!W92,0)+IF(Scenario_Select="Scenario 4",'CBA Inputs'!W$95-'CBA Inputs'!W99,0)),0)*X$31</f>
        <v>-1821718.3945702221</v>
      </c>
      <c r="Y97" s="17">
        <f>IFERROR('Option inputs'!$F18*(IF(Scenario_Select="Scenario 1",'CBA Inputs'!X$74-'CBA Inputs'!X78,0)+IF(Scenario_Select="Scenario 2",'CBA Inputs'!X$81-'CBA Inputs'!X85,0)+IF(Scenario_Select="Scenario 3",'CBA Inputs'!X$88-'CBA Inputs'!X92,0)+IF(Scenario_Select="Scenario 4",'CBA Inputs'!X$95-'CBA Inputs'!X99,0)),0)*Y$31</f>
        <v>0.42613523712700824</v>
      </c>
      <c r="Z97" s="17">
        <f>IFERROR('Option inputs'!$F18*(IF(Scenario_Select="Scenario 1",'CBA Inputs'!Y$74-'CBA Inputs'!Y78,0)+IF(Scenario_Select="Scenario 2",'CBA Inputs'!Y$81-'CBA Inputs'!Y85,0)+IF(Scenario_Select="Scenario 3",'CBA Inputs'!Y$88-'CBA Inputs'!Y92,0)+IF(Scenario_Select="Scenario 4",'CBA Inputs'!Y$95-'CBA Inputs'!Y99,0)),0)*Z$31</f>
        <v>1.6036933782684444</v>
      </c>
      <c r="AA97" s="17">
        <f>IFERROR('Option inputs'!$F18*(IF(Scenario_Select="Scenario 1",'CBA Inputs'!Z$74-'CBA Inputs'!Z78,0)+IF(Scenario_Select="Scenario 2",'CBA Inputs'!Z$81-'CBA Inputs'!Z85,0)+IF(Scenario_Select="Scenario 3",'CBA Inputs'!Z$88-'CBA Inputs'!Z92,0)+IF(Scenario_Select="Scenario 4",'CBA Inputs'!Z$95-'CBA Inputs'!Z99,0)),0)*AA$31</f>
        <v>1617805.056481421</v>
      </c>
      <c r="AB97" s="17">
        <f>IFERROR('Option inputs'!$F18*(IF(Scenario_Select="Scenario 1",'CBA Inputs'!AA$74-'CBA Inputs'!AA78,0)+IF(Scenario_Select="Scenario 2",'CBA Inputs'!AA$81-'CBA Inputs'!AA85,0)+IF(Scenario_Select="Scenario 3",'CBA Inputs'!AA$88-'CBA Inputs'!AA92,0)+IF(Scenario_Select="Scenario 4",'CBA Inputs'!AA$95-'CBA Inputs'!AA99,0)),0)*AB$31</f>
        <v>0.88389386451674457</v>
      </c>
      <c r="AC97" s="17">
        <f>IFERROR('Option inputs'!$F18*(IF(Scenario_Select="Scenario 1",'CBA Inputs'!AB$74-'CBA Inputs'!AB78,0)+IF(Scenario_Select="Scenario 2",'CBA Inputs'!AB$81-'CBA Inputs'!AB85,0)+IF(Scenario_Select="Scenario 3",'CBA Inputs'!AB$88-'CBA Inputs'!AB92,0)+IF(Scenario_Select="Scenario 4",'CBA Inputs'!AB$95-'CBA Inputs'!AB99,0)),0)*AC$31</f>
        <v>3.7695876493933689</v>
      </c>
      <c r="AD97" s="17">
        <f>IFERROR('Option inputs'!$F18*(IF(Scenario_Select="Scenario 1",'CBA Inputs'!AC$74-'CBA Inputs'!AC78,0)+IF(Scenario_Select="Scenario 2",'CBA Inputs'!AC$81-'CBA Inputs'!AC85,0)+IF(Scenario_Select="Scenario 3",'CBA Inputs'!AC$88-'CBA Inputs'!AC92,0)+IF(Scenario_Select="Scenario 4",'CBA Inputs'!AC$95-'CBA Inputs'!AC99,0)),0)*AD$31</f>
        <v>-896771.86046043783</v>
      </c>
      <c r="AE97" s="17">
        <f>IFERROR('Option inputs'!$F18*(IF(Scenario_Select="Scenario 1",'CBA Inputs'!AD$74-'CBA Inputs'!AD78,0)+IF(Scenario_Select="Scenario 2",'CBA Inputs'!AD$81-'CBA Inputs'!AD85,0)+IF(Scenario_Select="Scenario 3",'CBA Inputs'!AD$88-'CBA Inputs'!AD92,0)+IF(Scenario_Select="Scenario 4",'CBA Inputs'!AD$95-'CBA Inputs'!AD99,0)),0)*AE$31</f>
        <v>-8357241.2999454439</v>
      </c>
      <c r="AF97" s="17">
        <f>IFERROR('Option inputs'!$F18*(IF(Scenario_Select="Scenario 1",'CBA Inputs'!AE$74-'CBA Inputs'!AE78,0)+IF(Scenario_Select="Scenario 2",'CBA Inputs'!AE$81-'CBA Inputs'!AE85,0)+IF(Scenario_Select="Scenario 3",'CBA Inputs'!AE$88-'CBA Inputs'!AE92,0)+IF(Scenario_Select="Scenario 4",'CBA Inputs'!AE$95-'CBA Inputs'!AE99,0)),0)*AF$31</f>
        <v>595567.25081744976</v>
      </c>
      <c r="AG97" s="17">
        <f>IFERROR('Option inputs'!$F18*(IF(Scenario_Select="Scenario 1",'CBA Inputs'!AF$74-'CBA Inputs'!AF78,0)+IF(Scenario_Select="Scenario 2",'CBA Inputs'!AF$81-'CBA Inputs'!AF85,0)+IF(Scenario_Select="Scenario 3",'CBA Inputs'!AF$88-'CBA Inputs'!AF92,0)+IF(Scenario_Select="Scenario 4",'CBA Inputs'!AF$95-'CBA Inputs'!AF99,0)),0)*AG$31</f>
        <v>0</v>
      </c>
      <c r="AH97" s="17">
        <f>IFERROR('Option inputs'!$F18*(IF(Scenario_Select="Scenario 1",'CBA Inputs'!AG$74-'CBA Inputs'!AG78,0)+IF(Scenario_Select="Scenario 2",'CBA Inputs'!AG$81-'CBA Inputs'!AG85,0)+IF(Scenario_Select="Scenario 3",'CBA Inputs'!AG$88-'CBA Inputs'!AG92,0)+IF(Scenario_Select="Scenario 4",'CBA Inputs'!AG$95-'CBA Inputs'!AG99,0)),0)*AH$31</f>
        <v>0</v>
      </c>
      <c r="AI97" s="17">
        <f>IFERROR('Option inputs'!$F18*(IF(Scenario_Select="Scenario 1",'CBA Inputs'!AH$74-'CBA Inputs'!AH78,0)+IF(Scenario_Select="Scenario 2",'CBA Inputs'!AH$81-'CBA Inputs'!AH85,0)+IF(Scenario_Select="Scenario 3",'CBA Inputs'!AH$88-'CBA Inputs'!AH92,0)+IF(Scenario_Select="Scenario 4",'CBA Inputs'!AH$95-'CBA Inputs'!AH99,0)),0)*AI$31</f>
        <v>0</v>
      </c>
      <c r="AJ97" s="17">
        <f>IFERROR('Option inputs'!$F18*(IF(Scenario_Select="Scenario 1",'CBA Inputs'!AI$74-'CBA Inputs'!AI78,0)+IF(Scenario_Select="Scenario 2",'CBA Inputs'!AI$81-'CBA Inputs'!AI85,0)+IF(Scenario_Select="Scenario 3",'CBA Inputs'!AI$88-'CBA Inputs'!AI92,0)+IF(Scenario_Select="Scenario 4",'CBA Inputs'!AI$95-'CBA Inputs'!AI99,0)),0)*AJ$31</f>
        <v>0</v>
      </c>
    </row>
    <row r="98" spans="2:36" x14ac:dyDescent="0.35">
      <c r="F98" s="137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  <c r="U98" s="138"/>
      <c r="V98" s="138"/>
      <c r="W98" s="138"/>
      <c r="X98" s="138"/>
      <c r="Y98" s="138"/>
      <c r="Z98" s="138"/>
      <c r="AA98" s="138"/>
      <c r="AB98" s="138"/>
      <c r="AC98" s="138"/>
      <c r="AD98" s="138"/>
      <c r="AE98" s="138"/>
    </row>
    <row r="99" spans="2:36" x14ac:dyDescent="0.35">
      <c r="B99" s="5" t="str">
        <f>+'CBA Inputs'!B101</f>
        <v xml:space="preserve">Fuel consumption from generation dispatch </v>
      </c>
      <c r="C99" s="27"/>
      <c r="D99" s="27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2:36" x14ac:dyDescent="0.35">
      <c r="B100" s="7" t="s">
        <v>14</v>
      </c>
      <c r="C100" s="10" t="s">
        <v>13</v>
      </c>
      <c r="D100" s="10"/>
      <c r="E100" s="8" t="s">
        <v>22</v>
      </c>
      <c r="F100" s="8" t="s">
        <v>37</v>
      </c>
      <c r="G100" s="13" t="str">
        <f>G$32</f>
        <v>FY 2019-20</v>
      </c>
      <c r="H100" s="13" t="str">
        <f t="shared" ref="H100:AJ100" si="45">H$32</f>
        <v>FY 2020-21</v>
      </c>
      <c r="I100" s="13" t="str">
        <f t="shared" si="45"/>
        <v>FY 2021-22</v>
      </c>
      <c r="J100" s="13" t="str">
        <f t="shared" si="45"/>
        <v>FY 2022-23</v>
      </c>
      <c r="K100" s="13" t="str">
        <f t="shared" si="45"/>
        <v>FY 2023-24</v>
      </c>
      <c r="L100" s="13" t="str">
        <f t="shared" si="45"/>
        <v>FY 2024-25</v>
      </c>
      <c r="M100" s="13" t="str">
        <f t="shared" si="45"/>
        <v>FY 2025-26</v>
      </c>
      <c r="N100" s="13" t="str">
        <f t="shared" si="45"/>
        <v>FY 2026-27</v>
      </c>
      <c r="O100" s="13" t="str">
        <f t="shared" si="45"/>
        <v>FY 2027-28</v>
      </c>
      <c r="P100" s="13" t="str">
        <f t="shared" si="45"/>
        <v>FY 2028-29</v>
      </c>
      <c r="Q100" s="13" t="str">
        <f t="shared" si="45"/>
        <v>FY 2029-30</v>
      </c>
      <c r="R100" s="13" t="str">
        <f t="shared" si="45"/>
        <v>FY 2030-31</v>
      </c>
      <c r="S100" s="13" t="str">
        <f t="shared" si="45"/>
        <v>FY 2031-32</v>
      </c>
      <c r="T100" s="13" t="str">
        <f t="shared" si="45"/>
        <v>FY 2032-33</v>
      </c>
      <c r="U100" s="13" t="str">
        <f t="shared" si="45"/>
        <v>FY 2033-34</v>
      </c>
      <c r="V100" s="13" t="str">
        <f t="shared" si="45"/>
        <v>FY 2034-35</v>
      </c>
      <c r="W100" s="13" t="str">
        <f t="shared" si="45"/>
        <v>FY 2035-36</v>
      </c>
      <c r="X100" s="13" t="str">
        <f t="shared" si="45"/>
        <v>FY 2036-37</v>
      </c>
      <c r="Y100" s="13" t="str">
        <f t="shared" si="45"/>
        <v>FY 2037-38</v>
      </c>
      <c r="Z100" s="13" t="str">
        <f t="shared" si="45"/>
        <v>FY 2038-39</v>
      </c>
      <c r="AA100" s="13" t="str">
        <f t="shared" si="45"/>
        <v>FY 2039-40</v>
      </c>
      <c r="AB100" s="13" t="str">
        <f t="shared" si="45"/>
        <v>FY 2040-41</v>
      </c>
      <c r="AC100" s="13" t="str">
        <f t="shared" si="45"/>
        <v>FY 2041-42</v>
      </c>
      <c r="AD100" s="13" t="str">
        <f t="shared" si="45"/>
        <v>FY 2042-43</v>
      </c>
      <c r="AE100" s="13" t="str">
        <f t="shared" si="45"/>
        <v>FY 2043-44</v>
      </c>
      <c r="AF100" s="13" t="str">
        <f t="shared" si="45"/>
        <v>FY 2044-45</v>
      </c>
      <c r="AG100" s="13" t="str">
        <f t="shared" si="45"/>
        <v>FY 2045-46</v>
      </c>
      <c r="AH100" s="13" t="str">
        <f t="shared" si="45"/>
        <v>FY 2046-47</v>
      </c>
      <c r="AI100" s="13" t="str">
        <f t="shared" si="45"/>
        <v>FY 2047-48</v>
      </c>
      <c r="AJ100" s="13" t="str">
        <f t="shared" si="45"/>
        <v>FY 2048-49</v>
      </c>
    </row>
    <row r="101" spans="2:36" x14ac:dyDescent="0.35">
      <c r="B101" s="9">
        <f>+'Option inputs'!$B$15</f>
        <v>1</v>
      </c>
      <c r="C101" s="14" t="str">
        <f>+'Option inputs'!$C$15</f>
        <v>Option 1A</v>
      </c>
      <c r="D101" s="25"/>
      <c r="E101" s="12" t="s">
        <v>35</v>
      </c>
      <c r="F101" s="18">
        <f t="shared" ref="F101:F104" si="46">NPV(DiscountRate_ACTIVE,G101:AJ101)/(1+DiscountRate_ACTIVE)^(FirstYear-BaseYear-2)</f>
        <v>63457612.565589324</v>
      </c>
      <c r="G101" s="17">
        <f>IFERROR('Option inputs'!$F15*(IF(Scenario_Select="Scenario 1",'CBA Inputs'!F$104-'CBA Inputs'!F105,0)+IF(Scenario_Select="Scenario 2",'CBA Inputs'!F$111-'CBA Inputs'!F112,0)+IF(Scenario_Select="Scenario 3",'CBA Inputs'!F$118-'CBA Inputs'!F119,0)+IF(Scenario_Select="Scenario 4",'CBA Inputs'!F$125-'CBA Inputs'!F126,0)),0)*G$31</f>
        <v>0</v>
      </c>
      <c r="H101" s="17">
        <f>IFERROR('Option inputs'!$F15*(IF(Scenario_Select="Scenario 1",'CBA Inputs'!G$104-'CBA Inputs'!G105,0)+IF(Scenario_Select="Scenario 2",'CBA Inputs'!G$111-'CBA Inputs'!G112,0)+IF(Scenario_Select="Scenario 3",'CBA Inputs'!G$118-'CBA Inputs'!G119,0)+IF(Scenario_Select="Scenario 4",'CBA Inputs'!G$125-'CBA Inputs'!G126,0)),0)*H$31</f>
        <v>-20.771078109741211</v>
      </c>
      <c r="I101" s="17">
        <f>IFERROR('Option inputs'!$F15*(IF(Scenario_Select="Scenario 1",'CBA Inputs'!H$104-'CBA Inputs'!H105,0)+IF(Scenario_Select="Scenario 2",'CBA Inputs'!H$111-'CBA Inputs'!H112,0)+IF(Scenario_Select="Scenario 3",'CBA Inputs'!H$118-'CBA Inputs'!H119,0)+IF(Scenario_Select="Scenario 4",'CBA Inputs'!H$125-'CBA Inputs'!H126,0)),0)*I$31</f>
        <v>38950.090555667877</v>
      </c>
      <c r="J101" s="17">
        <f>IFERROR('Option inputs'!$F15*(IF(Scenario_Select="Scenario 1",'CBA Inputs'!I$104-'CBA Inputs'!I105,0)+IF(Scenario_Select="Scenario 2",'CBA Inputs'!I$111-'CBA Inputs'!I112,0)+IF(Scenario_Select="Scenario 3",'CBA Inputs'!I$118-'CBA Inputs'!I119,0)+IF(Scenario_Select="Scenario 4",'CBA Inputs'!I$125-'CBA Inputs'!I126,0)),0)*J$31</f>
        <v>5751396.4558663368</v>
      </c>
      <c r="K101" s="17">
        <f>IFERROR('Option inputs'!$F15*(IF(Scenario_Select="Scenario 1",'CBA Inputs'!J$104-'CBA Inputs'!J105,0)+IF(Scenario_Select="Scenario 2",'CBA Inputs'!J$111-'CBA Inputs'!J112,0)+IF(Scenario_Select="Scenario 3",'CBA Inputs'!J$118-'CBA Inputs'!J119,0)+IF(Scenario_Select="Scenario 4",'CBA Inputs'!J$125-'CBA Inputs'!J126,0)),0)*K$31</f>
        <v>6421066.7215399742</v>
      </c>
      <c r="L101" s="17">
        <f>IFERROR('Option inputs'!$F15*(IF(Scenario_Select="Scenario 1",'CBA Inputs'!K$104-'CBA Inputs'!K105,0)+IF(Scenario_Select="Scenario 2",'CBA Inputs'!K$111-'CBA Inputs'!K112,0)+IF(Scenario_Select="Scenario 3",'CBA Inputs'!K$118-'CBA Inputs'!K119,0)+IF(Scenario_Select="Scenario 4",'CBA Inputs'!K$125-'CBA Inputs'!K126,0)),0)*L$31</f>
        <v>6931777.0918259621</v>
      </c>
      <c r="M101" s="17">
        <f>IFERROR('Option inputs'!$F15*(IF(Scenario_Select="Scenario 1",'CBA Inputs'!L$104-'CBA Inputs'!L105,0)+IF(Scenario_Select="Scenario 2",'CBA Inputs'!L$111-'CBA Inputs'!L112,0)+IF(Scenario_Select="Scenario 3",'CBA Inputs'!L$118-'CBA Inputs'!L119,0)+IF(Scenario_Select="Scenario 4",'CBA Inputs'!L$125-'CBA Inputs'!L126,0)),0)*M$31</f>
        <v>10407066.2038517</v>
      </c>
      <c r="N101" s="17">
        <f>IFERROR('Option inputs'!$F15*(IF(Scenario_Select="Scenario 1",'CBA Inputs'!M$104-'CBA Inputs'!M105,0)+IF(Scenario_Select="Scenario 2",'CBA Inputs'!M$111-'CBA Inputs'!M112,0)+IF(Scenario_Select="Scenario 3",'CBA Inputs'!M$118-'CBA Inputs'!M119,0)+IF(Scenario_Select="Scenario 4",'CBA Inputs'!M$125-'CBA Inputs'!M126,0)),0)*N$31</f>
        <v>7623705.4406652451</v>
      </c>
      <c r="O101" s="17">
        <f>IFERROR('Option inputs'!$F15*(IF(Scenario_Select="Scenario 1",'CBA Inputs'!N$104-'CBA Inputs'!N105,0)+IF(Scenario_Select="Scenario 2",'CBA Inputs'!N$111-'CBA Inputs'!N112,0)+IF(Scenario_Select="Scenario 3",'CBA Inputs'!N$118-'CBA Inputs'!N119,0)+IF(Scenario_Select="Scenario 4",'CBA Inputs'!N$125-'CBA Inputs'!N126,0)),0)*O$31</f>
        <v>9083578.5407090187</v>
      </c>
      <c r="P101" s="17">
        <f>IFERROR('Option inputs'!$F15*(IF(Scenario_Select="Scenario 1",'CBA Inputs'!O$104-'CBA Inputs'!O105,0)+IF(Scenario_Select="Scenario 2",'CBA Inputs'!O$111-'CBA Inputs'!O112,0)+IF(Scenario_Select="Scenario 3",'CBA Inputs'!O$118-'CBA Inputs'!O119,0)+IF(Scenario_Select="Scenario 4",'CBA Inputs'!O$125-'CBA Inputs'!O126,0)),0)*P$31</f>
        <v>-4267537.4385471344</v>
      </c>
      <c r="Q101" s="17">
        <f>IFERROR('Option inputs'!$F15*(IF(Scenario_Select="Scenario 1",'CBA Inputs'!P$104-'CBA Inputs'!P105,0)+IF(Scenario_Select="Scenario 2",'CBA Inputs'!P$111-'CBA Inputs'!P112,0)+IF(Scenario_Select="Scenario 3",'CBA Inputs'!P$118-'CBA Inputs'!P119,0)+IF(Scenario_Select="Scenario 4",'CBA Inputs'!P$125-'CBA Inputs'!P126,0)),0)*Q$31</f>
        <v>-11207626.622312069</v>
      </c>
      <c r="R101" s="17">
        <f>IFERROR('Option inputs'!$F15*(IF(Scenario_Select="Scenario 1",'CBA Inputs'!Q$104-'CBA Inputs'!Q105,0)+IF(Scenario_Select="Scenario 2",'CBA Inputs'!Q$111-'CBA Inputs'!Q112,0)+IF(Scenario_Select="Scenario 3",'CBA Inputs'!Q$118-'CBA Inputs'!Q119,0)+IF(Scenario_Select="Scenario 4",'CBA Inputs'!Q$125-'CBA Inputs'!Q126,0)),0)*R$31</f>
        <v>-13555355.963457108</v>
      </c>
      <c r="S101" s="17">
        <f>IFERROR('Option inputs'!$F15*(IF(Scenario_Select="Scenario 1",'CBA Inputs'!R$104-'CBA Inputs'!R105,0)+IF(Scenario_Select="Scenario 2",'CBA Inputs'!R$111-'CBA Inputs'!R112,0)+IF(Scenario_Select="Scenario 3",'CBA Inputs'!R$118-'CBA Inputs'!R119,0)+IF(Scenario_Select="Scenario 4",'CBA Inputs'!R$125-'CBA Inputs'!R126,0)),0)*S$31</f>
        <v>-9180094.6487760544</v>
      </c>
      <c r="T101" s="17">
        <f>IFERROR('Option inputs'!$F15*(IF(Scenario_Select="Scenario 1",'CBA Inputs'!S$104-'CBA Inputs'!S105,0)+IF(Scenario_Select="Scenario 2",'CBA Inputs'!S$111-'CBA Inputs'!S112,0)+IF(Scenario_Select="Scenario 3",'CBA Inputs'!S$118-'CBA Inputs'!S119,0)+IF(Scenario_Select="Scenario 4",'CBA Inputs'!S$125-'CBA Inputs'!S126,0)),0)*T$31</f>
        <v>12376624.577317715</v>
      </c>
      <c r="U101" s="17">
        <f>IFERROR('Option inputs'!$F15*(IF(Scenario_Select="Scenario 1",'CBA Inputs'!T$104-'CBA Inputs'!T105,0)+IF(Scenario_Select="Scenario 2",'CBA Inputs'!T$111-'CBA Inputs'!T112,0)+IF(Scenario_Select="Scenario 3",'CBA Inputs'!T$118-'CBA Inputs'!T119,0)+IF(Scenario_Select="Scenario 4",'CBA Inputs'!T$125-'CBA Inputs'!T126,0)),0)*U$31</f>
        <v>2130184.1417150497</v>
      </c>
      <c r="V101" s="17">
        <f>IFERROR('Option inputs'!$F15*(IF(Scenario_Select="Scenario 1",'CBA Inputs'!U$104-'CBA Inputs'!U105,0)+IF(Scenario_Select="Scenario 2",'CBA Inputs'!U$111-'CBA Inputs'!U112,0)+IF(Scenario_Select="Scenario 3",'CBA Inputs'!U$118-'CBA Inputs'!U119,0)+IF(Scenario_Select="Scenario 4",'CBA Inputs'!U$125-'CBA Inputs'!U126,0)),0)*V$31</f>
        <v>-19393009.69004631</v>
      </c>
      <c r="W101" s="17">
        <f>IFERROR('Option inputs'!$F15*(IF(Scenario_Select="Scenario 1",'CBA Inputs'!V$104-'CBA Inputs'!V105,0)+IF(Scenario_Select="Scenario 2",'CBA Inputs'!V$111-'CBA Inputs'!V112,0)+IF(Scenario_Select="Scenario 3",'CBA Inputs'!V$118-'CBA Inputs'!V119,0)+IF(Scenario_Select="Scenario 4",'CBA Inputs'!V$125-'CBA Inputs'!V126,0)),0)*W$31</f>
        <v>-12062123.707467556</v>
      </c>
      <c r="X101" s="17">
        <f>IFERROR('Option inputs'!$F15*(IF(Scenario_Select="Scenario 1",'CBA Inputs'!W$104-'CBA Inputs'!W105,0)+IF(Scenario_Select="Scenario 2",'CBA Inputs'!W$111-'CBA Inputs'!W112,0)+IF(Scenario_Select="Scenario 3",'CBA Inputs'!W$118-'CBA Inputs'!W119,0)+IF(Scenario_Select="Scenario 4",'CBA Inputs'!W$125-'CBA Inputs'!W126,0)),0)*X$31</f>
        <v>19080104.688132763</v>
      </c>
      <c r="Y101" s="17">
        <f>IFERROR('Option inputs'!$F15*(IF(Scenario_Select="Scenario 1",'CBA Inputs'!X$104-'CBA Inputs'!X105,0)+IF(Scenario_Select="Scenario 2",'CBA Inputs'!X$111-'CBA Inputs'!X112,0)+IF(Scenario_Select="Scenario 3",'CBA Inputs'!X$118-'CBA Inputs'!X119,0)+IF(Scenario_Select="Scenario 4",'CBA Inputs'!X$125-'CBA Inputs'!X126,0)),0)*Y$31</f>
        <v>14138010.729484081</v>
      </c>
      <c r="Z101" s="17">
        <f>IFERROR('Option inputs'!$F15*(IF(Scenario_Select="Scenario 1",'CBA Inputs'!Y$104-'CBA Inputs'!Y105,0)+IF(Scenario_Select="Scenario 2",'CBA Inputs'!Y$111-'CBA Inputs'!Y112,0)+IF(Scenario_Select="Scenario 3",'CBA Inputs'!Y$118-'CBA Inputs'!Y119,0)+IF(Scenario_Select="Scenario 4",'CBA Inputs'!Y$125-'CBA Inputs'!Y126,0)),0)*Z$31</f>
        <v>7591431.3912129402</v>
      </c>
      <c r="AA101" s="17">
        <f>IFERROR('Option inputs'!$F15*(IF(Scenario_Select="Scenario 1",'CBA Inputs'!Z$104-'CBA Inputs'!Z105,0)+IF(Scenario_Select="Scenario 2",'CBA Inputs'!Z$111-'CBA Inputs'!Z112,0)+IF(Scenario_Select="Scenario 3",'CBA Inputs'!Z$118-'CBA Inputs'!Z119,0)+IF(Scenario_Select="Scenario 4",'CBA Inputs'!Z$125-'CBA Inputs'!Z126,0)),0)*AA$31</f>
        <v>12390147.965401649</v>
      </c>
      <c r="AB101" s="17">
        <f>IFERROR('Option inputs'!$F15*(IF(Scenario_Select="Scenario 1",'CBA Inputs'!AA$104-'CBA Inputs'!AA105,0)+IF(Scenario_Select="Scenario 2",'CBA Inputs'!AA$111-'CBA Inputs'!AA112,0)+IF(Scenario_Select="Scenario 3",'CBA Inputs'!AA$118-'CBA Inputs'!AA119,0)+IF(Scenario_Select="Scenario 4",'CBA Inputs'!AA$125-'CBA Inputs'!AA126,0)),0)*AB$31</f>
        <v>27631003.240487099</v>
      </c>
      <c r="AC101" s="17">
        <f>IFERROR('Option inputs'!$F15*(IF(Scenario_Select="Scenario 1",'CBA Inputs'!AB$104-'CBA Inputs'!AB105,0)+IF(Scenario_Select="Scenario 2",'CBA Inputs'!AB$111-'CBA Inputs'!AB112,0)+IF(Scenario_Select="Scenario 3",'CBA Inputs'!AB$118-'CBA Inputs'!AB119,0)+IF(Scenario_Select="Scenario 4",'CBA Inputs'!AB$125-'CBA Inputs'!AB126,0)),0)*AC$31</f>
        <v>12276003.152264595</v>
      </c>
      <c r="AD101" s="17">
        <f>IFERROR('Option inputs'!$F15*(IF(Scenario_Select="Scenario 1",'CBA Inputs'!AC$104-'CBA Inputs'!AC105,0)+IF(Scenario_Select="Scenario 2",'CBA Inputs'!AC$111-'CBA Inputs'!AC112,0)+IF(Scenario_Select="Scenario 3",'CBA Inputs'!AC$118-'CBA Inputs'!AC119,0)+IF(Scenario_Select="Scenario 4",'CBA Inputs'!AC$125-'CBA Inputs'!AC126,0)),0)*AD$31</f>
        <v>-6385772.4601264</v>
      </c>
      <c r="AE101" s="17">
        <f>IFERROR('Option inputs'!$F15*(IF(Scenario_Select="Scenario 1",'CBA Inputs'!AD$104-'CBA Inputs'!AD105,0)+IF(Scenario_Select="Scenario 2",'CBA Inputs'!AD$111-'CBA Inputs'!AD112,0)+IF(Scenario_Select="Scenario 3",'CBA Inputs'!AD$118-'CBA Inputs'!AD119,0)+IF(Scenario_Select="Scenario 4",'CBA Inputs'!AD$125-'CBA Inputs'!AD126,0)),0)*AE$31</f>
        <v>54367392.467200756</v>
      </c>
      <c r="AF101" s="17">
        <f>IFERROR('Option inputs'!$F15*(IF(Scenario_Select="Scenario 1",'CBA Inputs'!AE$104-'CBA Inputs'!AE105,0)+IF(Scenario_Select="Scenario 2",'CBA Inputs'!AE$111-'CBA Inputs'!AE112,0)+IF(Scenario_Select="Scenario 3",'CBA Inputs'!AE$118-'CBA Inputs'!AE119,0)+IF(Scenario_Select="Scenario 4",'CBA Inputs'!AE$125-'CBA Inputs'!AE126,0)),0)*AF$31</f>
        <v>45603138.345723152</v>
      </c>
      <c r="AG101" s="17">
        <f>IFERROR('Option inputs'!$F15*(IF(Scenario_Select="Scenario 1",'CBA Inputs'!AF$104-'CBA Inputs'!AF105,0)+IF(Scenario_Select="Scenario 2",'CBA Inputs'!AF$111-'CBA Inputs'!AF112,0)+IF(Scenario_Select="Scenario 3",'CBA Inputs'!AF$118-'CBA Inputs'!AF119,0)+IF(Scenario_Select="Scenario 4",'CBA Inputs'!AF$125-'CBA Inputs'!AF126,0)),0)*AG$31</f>
        <v>0</v>
      </c>
      <c r="AH101" s="17">
        <f>IFERROR('Option inputs'!$F15*(IF(Scenario_Select="Scenario 1",'CBA Inputs'!AG$104-'CBA Inputs'!AG105,0)+IF(Scenario_Select="Scenario 2",'CBA Inputs'!AG$111-'CBA Inputs'!AG112,0)+IF(Scenario_Select="Scenario 3",'CBA Inputs'!AG$118-'CBA Inputs'!AG119,0)+IF(Scenario_Select="Scenario 4",'CBA Inputs'!AG$125-'CBA Inputs'!AG126,0)),0)*AH$31</f>
        <v>0</v>
      </c>
      <c r="AI101" s="17">
        <f>IFERROR('Option inputs'!$F15*(IF(Scenario_Select="Scenario 1",'CBA Inputs'!AH$104-'CBA Inputs'!AH105,0)+IF(Scenario_Select="Scenario 2",'CBA Inputs'!AH$111-'CBA Inputs'!AH112,0)+IF(Scenario_Select="Scenario 3",'CBA Inputs'!AH$118-'CBA Inputs'!AH119,0)+IF(Scenario_Select="Scenario 4",'CBA Inputs'!AH$125-'CBA Inputs'!AH126,0)),0)*AI$31</f>
        <v>0</v>
      </c>
      <c r="AJ101" s="17">
        <f>IFERROR('Option inputs'!$F15*(IF(Scenario_Select="Scenario 1",'CBA Inputs'!AI$104-'CBA Inputs'!AI105,0)+IF(Scenario_Select="Scenario 2",'CBA Inputs'!AI$111-'CBA Inputs'!AI112,0)+IF(Scenario_Select="Scenario 3",'CBA Inputs'!AI$118-'CBA Inputs'!AI119,0)+IF(Scenario_Select="Scenario 4",'CBA Inputs'!AI$125-'CBA Inputs'!AI126,0)),0)*AJ$31</f>
        <v>0</v>
      </c>
    </row>
    <row r="102" spans="2:36" x14ac:dyDescent="0.35">
      <c r="B102" s="9">
        <f>+'Option inputs'!$B$16</f>
        <v>2</v>
      </c>
      <c r="C102" s="14" t="str">
        <f>+'Option inputs'!$C$16</f>
        <v>Option 1B</v>
      </c>
      <c r="D102" s="25"/>
      <c r="E102" s="12" t="s">
        <v>35</v>
      </c>
      <c r="F102" s="18">
        <f t="shared" si="46"/>
        <v>100346748.82231346</v>
      </c>
      <c r="G102" s="17">
        <f>IFERROR('Option inputs'!$F16*(IF(Scenario_Select="Scenario 1",'CBA Inputs'!F$104-'CBA Inputs'!F106,0)+IF(Scenario_Select="Scenario 2",'CBA Inputs'!F$111-'CBA Inputs'!F113,0)+IF(Scenario_Select="Scenario 3",'CBA Inputs'!F$118-'CBA Inputs'!F120,0)+IF(Scenario_Select="Scenario 4",'CBA Inputs'!F$125-'CBA Inputs'!F127,0)),0)*G$31</f>
        <v>0</v>
      </c>
      <c r="H102" s="17">
        <f>IFERROR('Option inputs'!$F16*(IF(Scenario_Select="Scenario 1",'CBA Inputs'!G$104-'CBA Inputs'!G106,0)+IF(Scenario_Select="Scenario 2",'CBA Inputs'!G$111-'CBA Inputs'!G113,0)+IF(Scenario_Select="Scenario 3",'CBA Inputs'!G$118-'CBA Inputs'!G120,0)+IF(Scenario_Select="Scenario 4",'CBA Inputs'!G$125-'CBA Inputs'!G127,0)),0)*H$31</f>
        <v>-43.72183895111084</v>
      </c>
      <c r="I102" s="17">
        <f>IFERROR('Option inputs'!$F16*(IF(Scenario_Select="Scenario 1",'CBA Inputs'!H$104-'CBA Inputs'!H106,0)+IF(Scenario_Select="Scenario 2",'CBA Inputs'!H$111-'CBA Inputs'!H113,0)+IF(Scenario_Select="Scenario 3",'CBA Inputs'!H$118-'CBA Inputs'!H120,0)+IF(Scenario_Select="Scenario 4",'CBA Inputs'!H$125-'CBA Inputs'!H127,0)),0)*I$31</f>
        <v>33473.44179725647</v>
      </c>
      <c r="J102" s="17">
        <f>IFERROR('Option inputs'!$F16*(IF(Scenario_Select="Scenario 1",'CBA Inputs'!I$104-'CBA Inputs'!I106,0)+IF(Scenario_Select="Scenario 2",'CBA Inputs'!I$111-'CBA Inputs'!I113,0)+IF(Scenario_Select="Scenario 3",'CBA Inputs'!I$118-'CBA Inputs'!I120,0)+IF(Scenario_Select="Scenario 4",'CBA Inputs'!I$125-'CBA Inputs'!I127,0)),0)*J$31</f>
        <v>5538505.329843998</v>
      </c>
      <c r="K102" s="17">
        <f>IFERROR('Option inputs'!$F16*(IF(Scenario_Select="Scenario 1",'CBA Inputs'!J$104-'CBA Inputs'!J106,0)+IF(Scenario_Select="Scenario 2",'CBA Inputs'!J$111-'CBA Inputs'!J113,0)+IF(Scenario_Select="Scenario 3",'CBA Inputs'!J$118-'CBA Inputs'!J120,0)+IF(Scenario_Select="Scenario 4",'CBA Inputs'!J$125-'CBA Inputs'!J127,0)),0)*K$31</f>
        <v>6889918.5147247314</v>
      </c>
      <c r="L102" s="17">
        <f>IFERROR('Option inputs'!$F16*(IF(Scenario_Select="Scenario 1",'CBA Inputs'!K$104-'CBA Inputs'!K106,0)+IF(Scenario_Select="Scenario 2",'CBA Inputs'!K$111-'CBA Inputs'!K113,0)+IF(Scenario_Select="Scenario 3",'CBA Inputs'!K$118-'CBA Inputs'!K120,0)+IF(Scenario_Select="Scenario 4",'CBA Inputs'!K$125-'CBA Inputs'!K127,0)),0)*L$31</f>
        <v>7508951.4305024147</v>
      </c>
      <c r="M102" s="17">
        <f>IFERROR('Option inputs'!$F16*(IF(Scenario_Select="Scenario 1",'CBA Inputs'!L$104-'CBA Inputs'!L106,0)+IF(Scenario_Select="Scenario 2",'CBA Inputs'!L$111-'CBA Inputs'!L113,0)+IF(Scenario_Select="Scenario 3",'CBA Inputs'!L$118-'CBA Inputs'!L120,0)+IF(Scenario_Select="Scenario 4",'CBA Inputs'!L$125-'CBA Inputs'!L127,0)),0)*M$31</f>
        <v>10488024.755032539</v>
      </c>
      <c r="N102" s="17">
        <f>IFERROR('Option inputs'!$F16*(IF(Scenario_Select="Scenario 1",'CBA Inputs'!M$104-'CBA Inputs'!M106,0)+IF(Scenario_Select="Scenario 2",'CBA Inputs'!M$111-'CBA Inputs'!M113,0)+IF(Scenario_Select="Scenario 3",'CBA Inputs'!M$118-'CBA Inputs'!M120,0)+IF(Scenario_Select="Scenario 4",'CBA Inputs'!M$125-'CBA Inputs'!M127,0)),0)*N$31</f>
        <v>8948490.5155501366</v>
      </c>
      <c r="O102" s="17">
        <f>IFERROR('Option inputs'!$F16*(IF(Scenario_Select="Scenario 1",'CBA Inputs'!N$104-'CBA Inputs'!N106,0)+IF(Scenario_Select="Scenario 2",'CBA Inputs'!N$111-'CBA Inputs'!N113,0)+IF(Scenario_Select="Scenario 3",'CBA Inputs'!N$118-'CBA Inputs'!N120,0)+IF(Scenario_Select="Scenario 4",'CBA Inputs'!N$125-'CBA Inputs'!N127,0)),0)*O$31</f>
        <v>9003746.9479308128</v>
      </c>
      <c r="P102" s="17">
        <f>IFERROR('Option inputs'!$F16*(IF(Scenario_Select="Scenario 1",'CBA Inputs'!O$104-'CBA Inputs'!O106,0)+IF(Scenario_Select="Scenario 2",'CBA Inputs'!O$111-'CBA Inputs'!O113,0)+IF(Scenario_Select="Scenario 3",'CBA Inputs'!O$118-'CBA Inputs'!O120,0)+IF(Scenario_Select="Scenario 4",'CBA Inputs'!O$125-'CBA Inputs'!O127,0)),0)*P$31</f>
        <v>-1310672.2052140236</v>
      </c>
      <c r="Q102" s="17">
        <f>IFERROR('Option inputs'!$F16*(IF(Scenario_Select="Scenario 1",'CBA Inputs'!P$104-'CBA Inputs'!P106,0)+IF(Scenario_Select="Scenario 2",'CBA Inputs'!P$111-'CBA Inputs'!P113,0)+IF(Scenario_Select="Scenario 3",'CBA Inputs'!P$118-'CBA Inputs'!P120,0)+IF(Scenario_Select="Scenario 4",'CBA Inputs'!P$125-'CBA Inputs'!P127,0)),0)*Q$31</f>
        <v>-3629273.0176577568</v>
      </c>
      <c r="R102" s="17">
        <f>IFERROR('Option inputs'!$F16*(IF(Scenario_Select="Scenario 1",'CBA Inputs'!Q$104-'CBA Inputs'!Q106,0)+IF(Scenario_Select="Scenario 2",'CBA Inputs'!Q$111-'CBA Inputs'!Q113,0)+IF(Scenario_Select="Scenario 3",'CBA Inputs'!Q$118-'CBA Inputs'!Q120,0)+IF(Scenario_Select="Scenario 4",'CBA Inputs'!Q$125-'CBA Inputs'!Q127,0)),0)*R$31</f>
        <v>-4814479.1313505173</v>
      </c>
      <c r="S102" s="17">
        <f>IFERROR('Option inputs'!$F16*(IF(Scenario_Select="Scenario 1",'CBA Inputs'!R$104-'CBA Inputs'!R106,0)+IF(Scenario_Select="Scenario 2",'CBA Inputs'!R$111-'CBA Inputs'!R113,0)+IF(Scenario_Select="Scenario 3",'CBA Inputs'!R$118-'CBA Inputs'!R120,0)+IF(Scenario_Select="Scenario 4",'CBA Inputs'!R$125-'CBA Inputs'!R127,0)),0)*S$31</f>
        <v>1789564.1099462509</v>
      </c>
      <c r="T102" s="17">
        <f>IFERROR('Option inputs'!$F16*(IF(Scenario_Select="Scenario 1",'CBA Inputs'!S$104-'CBA Inputs'!S106,0)+IF(Scenario_Select="Scenario 2",'CBA Inputs'!S$111-'CBA Inputs'!S113,0)+IF(Scenario_Select="Scenario 3",'CBA Inputs'!S$118-'CBA Inputs'!S120,0)+IF(Scenario_Select="Scenario 4",'CBA Inputs'!S$125-'CBA Inputs'!S127,0)),0)*T$31</f>
        <v>24824942.34223032</v>
      </c>
      <c r="U102" s="17">
        <f>IFERROR('Option inputs'!$F16*(IF(Scenario_Select="Scenario 1",'CBA Inputs'!T$104-'CBA Inputs'!T106,0)+IF(Scenario_Select="Scenario 2",'CBA Inputs'!T$111-'CBA Inputs'!T113,0)+IF(Scenario_Select="Scenario 3",'CBA Inputs'!T$118-'CBA Inputs'!T120,0)+IF(Scenario_Select="Scenario 4",'CBA Inputs'!T$125-'CBA Inputs'!T127,0)),0)*U$31</f>
        <v>1949580.65604496</v>
      </c>
      <c r="V102" s="17">
        <f>IFERROR('Option inputs'!$F16*(IF(Scenario_Select="Scenario 1",'CBA Inputs'!U$104-'CBA Inputs'!U106,0)+IF(Scenario_Select="Scenario 2",'CBA Inputs'!U$111-'CBA Inputs'!U113,0)+IF(Scenario_Select="Scenario 3",'CBA Inputs'!U$118-'CBA Inputs'!U120,0)+IF(Scenario_Select="Scenario 4",'CBA Inputs'!U$125-'CBA Inputs'!U127,0)),0)*V$31</f>
        <v>-1412170.4776148796</v>
      </c>
      <c r="W102" s="17">
        <f>IFERROR('Option inputs'!$F16*(IF(Scenario_Select="Scenario 1",'CBA Inputs'!V$104-'CBA Inputs'!V106,0)+IF(Scenario_Select="Scenario 2",'CBA Inputs'!V$111-'CBA Inputs'!V113,0)+IF(Scenario_Select="Scenario 3",'CBA Inputs'!V$118-'CBA Inputs'!V120,0)+IF(Scenario_Select="Scenario 4",'CBA Inputs'!V$125-'CBA Inputs'!V127,0)),0)*W$31</f>
        <v>2197199.2126641273</v>
      </c>
      <c r="X102" s="17">
        <f>IFERROR('Option inputs'!$F16*(IF(Scenario_Select="Scenario 1",'CBA Inputs'!W$104-'CBA Inputs'!W106,0)+IF(Scenario_Select="Scenario 2",'CBA Inputs'!W$111-'CBA Inputs'!W113,0)+IF(Scenario_Select="Scenario 3",'CBA Inputs'!W$118-'CBA Inputs'!W120,0)+IF(Scenario_Select="Scenario 4",'CBA Inputs'!W$125-'CBA Inputs'!W127,0)),0)*X$31</f>
        <v>13722904.865249634</v>
      </c>
      <c r="Y102" s="17">
        <f>IFERROR('Option inputs'!$F16*(IF(Scenario_Select="Scenario 1",'CBA Inputs'!X$104-'CBA Inputs'!X106,0)+IF(Scenario_Select="Scenario 2",'CBA Inputs'!X$111-'CBA Inputs'!X113,0)+IF(Scenario_Select="Scenario 3",'CBA Inputs'!X$118-'CBA Inputs'!X120,0)+IF(Scenario_Select="Scenario 4",'CBA Inputs'!X$125-'CBA Inputs'!X127,0)),0)*Y$31</f>
        <v>13918565.671332836</v>
      </c>
      <c r="Z102" s="17">
        <f>IFERROR('Option inputs'!$F16*(IF(Scenario_Select="Scenario 1",'CBA Inputs'!Y$104-'CBA Inputs'!Y106,0)+IF(Scenario_Select="Scenario 2",'CBA Inputs'!Y$111-'CBA Inputs'!Y113,0)+IF(Scenario_Select="Scenario 3",'CBA Inputs'!Y$118-'CBA Inputs'!Y120,0)+IF(Scenario_Select="Scenario 4",'CBA Inputs'!Y$125-'CBA Inputs'!Y127,0)),0)*Z$31</f>
        <v>8029916.3378458023</v>
      </c>
      <c r="AA102" s="17">
        <f>IFERROR('Option inputs'!$F16*(IF(Scenario_Select="Scenario 1",'CBA Inputs'!Z$104-'CBA Inputs'!Z106,0)+IF(Scenario_Select="Scenario 2",'CBA Inputs'!Z$111-'CBA Inputs'!Z113,0)+IF(Scenario_Select="Scenario 3",'CBA Inputs'!Z$118-'CBA Inputs'!Z120,0)+IF(Scenario_Select="Scenario 4",'CBA Inputs'!Z$125-'CBA Inputs'!Z127,0)),0)*AA$31</f>
        <v>16961787.361277103</v>
      </c>
      <c r="AB102" s="17">
        <f>IFERROR('Option inputs'!$F16*(IF(Scenario_Select="Scenario 1",'CBA Inputs'!AA$104-'CBA Inputs'!AA106,0)+IF(Scenario_Select="Scenario 2",'CBA Inputs'!AA$111-'CBA Inputs'!AA113,0)+IF(Scenario_Select="Scenario 3",'CBA Inputs'!AA$118-'CBA Inputs'!AA120,0)+IF(Scenario_Select="Scenario 4",'CBA Inputs'!AA$125-'CBA Inputs'!AA127,0)),0)*AB$31</f>
        <v>18024915.645503521</v>
      </c>
      <c r="AC102" s="17">
        <f>IFERROR('Option inputs'!$F16*(IF(Scenario_Select="Scenario 1",'CBA Inputs'!AB$104-'CBA Inputs'!AB106,0)+IF(Scenario_Select="Scenario 2",'CBA Inputs'!AB$111-'CBA Inputs'!AB113,0)+IF(Scenario_Select="Scenario 3",'CBA Inputs'!AB$118-'CBA Inputs'!AB120,0)+IF(Scenario_Select="Scenario 4",'CBA Inputs'!AB$125-'CBA Inputs'!AB127,0)),0)*AC$31</f>
        <v>10808265.99241209</v>
      </c>
      <c r="AD102" s="17">
        <f>IFERROR('Option inputs'!$F16*(IF(Scenario_Select="Scenario 1",'CBA Inputs'!AC$104-'CBA Inputs'!AC106,0)+IF(Scenario_Select="Scenario 2",'CBA Inputs'!AC$111-'CBA Inputs'!AC113,0)+IF(Scenario_Select="Scenario 3",'CBA Inputs'!AC$118-'CBA Inputs'!AC120,0)+IF(Scenario_Select="Scenario 4",'CBA Inputs'!AC$125-'CBA Inputs'!AC127,0)),0)*AD$31</f>
        <v>8533532.1602635384</v>
      </c>
      <c r="AE102" s="17">
        <f>IFERROR('Option inputs'!$F16*(IF(Scenario_Select="Scenario 1",'CBA Inputs'!AD$104-'CBA Inputs'!AD106,0)+IF(Scenario_Select="Scenario 2",'CBA Inputs'!AD$111-'CBA Inputs'!AD113,0)+IF(Scenario_Select="Scenario 3",'CBA Inputs'!AD$118-'CBA Inputs'!AD120,0)+IF(Scenario_Select="Scenario 4",'CBA Inputs'!AD$125-'CBA Inputs'!AD127,0)),0)*AE$31</f>
        <v>50094356.078388214</v>
      </c>
      <c r="AF102" s="17">
        <f>IFERROR('Option inputs'!$F16*(IF(Scenario_Select="Scenario 1",'CBA Inputs'!AE$104-'CBA Inputs'!AE106,0)+IF(Scenario_Select="Scenario 2",'CBA Inputs'!AE$111-'CBA Inputs'!AE113,0)+IF(Scenario_Select="Scenario 3",'CBA Inputs'!AE$118-'CBA Inputs'!AE120,0)+IF(Scenario_Select="Scenario 4",'CBA Inputs'!AE$125-'CBA Inputs'!AE127,0)),0)*AF$31</f>
        <v>40845424.755255222</v>
      </c>
      <c r="AG102" s="17">
        <f>IFERROR('Option inputs'!$F16*(IF(Scenario_Select="Scenario 1",'CBA Inputs'!AF$104-'CBA Inputs'!AF106,0)+IF(Scenario_Select="Scenario 2",'CBA Inputs'!AF$111-'CBA Inputs'!AF113,0)+IF(Scenario_Select="Scenario 3",'CBA Inputs'!AF$118-'CBA Inputs'!AF120,0)+IF(Scenario_Select="Scenario 4",'CBA Inputs'!AF$125-'CBA Inputs'!AF127,0)),0)*AG$31</f>
        <v>0</v>
      </c>
      <c r="AH102" s="17">
        <f>IFERROR('Option inputs'!$F16*(IF(Scenario_Select="Scenario 1",'CBA Inputs'!AG$104-'CBA Inputs'!AG106,0)+IF(Scenario_Select="Scenario 2",'CBA Inputs'!AG$111-'CBA Inputs'!AG113,0)+IF(Scenario_Select="Scenario 3",'CBA Inputs'!AG$118-'CBA Inputs'!AG120,0)+IF(Scenario_Select="Scenario 4",'CBA Inputs'!AG$125-'CBA Inputs'!AG127,0)),0)*AH$31</f>
        <v>0</v>
      </c>
      <c r="AI102" s="17">
        <f>IFERROR('Option inputs'!$F16*(IF(Scenario_Select="Scenario 1",'CBA Inputs'!AH$104-'CBA Inputs'!AH106,0)+IF(Scenario_Select="Scenario 2",'CBA Inputs'!AH$111-'CBA Inputs'!AH113,0)+IF(Scenario_Select="Scenario 3",'CBA Inputs'!AH$118-'CBA Inputs'!AH120,0)+IF(Scenario_Select="Scenario 4",'CBA Inputs'!AH$125-'CBA Inputs'!AH127,0)),0)*AI$31</f>
        <v>0</v>
      </c>
      <c r="AJ102" s="17">
        <f>IFERROR('Option inputs'!$F16*(IF(Scenario_Select="Scenario 1",'CBA Inputs'!AI$104-'CBA Inputs'!AI106,0)+IF(Scenario_Select="Scenario 2",'CBA Inputs'!AI$111-'CBA Inputs'!AI113,0)+IF(Scenario_Select="Scenario 3",'CBA Inputs'!AI$118-'CBA Inputs'!AI120,0)+IF(Scenario_Select="Scenario 4",'CBA Inputs'!AI$125-'CBA Inputs'!AI127,0)),0)*AJ$31</f>
        <v>0</v>
      </c>
    </row>
    <row r="103" spans="2:36" x14ac:dyDescent="0.35">
      <c r="B103" s="9">
        <f>+'Option inputs'!$B$17</f>
        <v>3</v>
      </c>
      <c r="C103" s="14" t="str">
        <f>+'Option inputs'!$C$17</f>
        <v>Option 1C</v>
      </c>
      <c r="D103" s="25"/>
      <c r="E103" s="12" t="s">
        <v>35</v>
      </c>
      <c r="F103" s="18">
        <f t="shared" si="46"/>
        <v>-22833466.472169761</v>
      </c>
      <c r="G103" s="17">
        <f>IFERROR('Option inputs'!$F17*(IF(Scenario_Select="Scenario 1",'CBA Inputs'!F$104-'CBA Inputs'!F107,0)+IF(Scenario_Select="Scenario 2",'CBA Inputs'!F$111-'CBA Inputs'!F114,0)+IF(Scenario_Select="Scenario 3",'CBA Inputs'!F$118-'CBA Inputs'!F121,0)+IF(Scenario_Select="Scenario 4",'CBA Inputs'!F$125-'CBA Inputs'!F128,0)),0)*G$31</f>
        <v>0</v>
      </c>
      <c r="H103" s="17">
        <f>IFERROR('Option inputs'!$F17*(IF(Scenario_Select="Scenario 1",'CBA Inputs'!G$104-'CBA Inputs'!G107,0)+IF(Scenario_Select="Scenario 2",'CBA Inputs'!G$111-'CBA Inputs'!G114,0)+IF(Scenario_Select="Scenario 3",'CBA Inputs'!G$118-'CBA Inputs'!G121,0)+IF(Scenario_Select="Scenario 4",'CBA Inputs'!G$125-'CBA Inputs'!G128,0)),0)*H$31</f>
        <v>-21.601123332977295</v>
      </c>
      <c r="I103" s="17">
        <f>IFERROR('Option inputs'!$F17*(IF(Scenario_Select="Scenario 1",'CBA Inputs'!H$104-'CBA Inputs'!H107,0)+IF(Scenario_Select="Scenario 2",'CBA Inputs'!H$111-'CBA Inputs'!H114,0)+IF(Scenario_Select="Scenario 3",'CBA Inputs'!H$118-'CBA Inputs'!H121,0)+IF(Scenario_Select="Scenario 4",'CBA Inputs'!H$125-'CBA Inputs'!H128,0)),0)*I$31</f>
        <v>14786.764095783234</v>
      </c>
      <c r="J103" s="17">
        <f>IFERROR('Option inputs'!$F17*(IF(Scenario_Select="Scenario 1",'CBA Inputs'!I$104-'CBA Inputs'!I107,0)+IF(Scenario_Select="Scenario 2",'CBA Inputs'!I$111-'CBA Inputs'!I114,0)+IF(Scenario_Select="Scenario 3",'CBA Inputs'!I$118-'CBA Inputs'!I121,0)+IF(Scenario_Select="Scenario 4",'CBA Inputs'!I$125-'CBA Inputs'!I128,0)),0)*J$31</f>
        <v>177335.13309335709</v>
      </c>
      <c r="K103" s="17">
        <f>IFERROR('Option inputs'!$F17*(IF(Scenario_Select="Scenario 1",'CBA Inputs'!J$104-'CBA Inputs'!J107,0)+IF(Scenario_Select="Scenario 2",'CBA Inputs'!J$111-'CBA Inputs'!J114,0)+IF(Scenario_Select="Scenario 3",'CBA Inputs'!J$118-'CBA Inputs'!J121,0)+IF(Scenario_Select="Scenario 4",'CBA Inputs'!J$125-'CBA Inputs'!J128,0)),0)*K$31</f>
        <v>-116698.16888523102</v>
      </c>
      <c r="L103" s="17">
        <f>IFERROR('Option inputs'!$F17*(IF(Scenario_Select="Scenario 1",'CBA Inputs'!K$104-'CBA Inputs'!K107,0)+IF(Scenario_Select="Scenario 2",'CBA Inputs'!K$111-'CBA Inputs'!K114,0)+IF(Scenario_Select="Scenario 3",'CBA Inputs'!K$118-'CBA Inputs'!K121,0)+IF(Scenario_Select="Scenario 4",'CBA Inputs'!K$125-'CBA Inputs'!K128,0)),0)*L$31</f>
        <v>-313096.05820798874</v>
      </c>
      <c r="M103" s="17">
        <f>IFERROR('Option inputs'!$F17*(IF(Scenario_Select="Scenario 1",'CBA Inputs'!L$104-'CBA Inputs'!L107,0)+IF(Scenario_Select="Scenario 2",'CBA Inputs'!L$111-'CBA Inputs'!L114,0)+IF(Scenario_Select="Scenario 3",'CBA Inputs'!L$118-'CBA Inputs'!L121,0)+IF(Scenario_Select="Scenario 4",'CBA Inputs'!L$125-'CBA Inputs'!L128,0)),0)*M$31</f>
        <v>337296.03354740143</v>
      </c>
      <c r="N103" s="17">
        <f>IFERROR('Option inputs'!$F17*(IF(Scenario_Select="Scenario 1",'CBA Inputs'!M$104-'CBA Inputs'!M107,0)+IF(Scenario_Select="Scenario 2",'CBA Inputs'!M$111-'CBA Inputs'!M114,0)+IF(Scenario_Select="Scenario 3",'CBA Inputs'!M$118-'CBA Inputs'!M121,0)+IF(Scenario_Select="Scenario 4",'CBA Inputs'!M$125-'CBA Inputs'!M128,0)),0)*N$31</f>
        <v>-1507669.4057207108</v>
      </c>
      <c r="O103" s="17">
        <f>IFERROR('Option inputs'!$F17*(IF(Scenario_Select="Scenario 1",'CBA Inputs'!N$104-'CBA Inputs'!N107,0)+IF(Scenario_Select="Scenario 2",'CBA Inputs'!N$111-'CBA Inputs'!N114,0)+IF(Scenario_Select="Scenario 3",'CBA Inputs'!N$118-'CBA Inputs'!N121,0)+IF(Scenario_Select="Scenario 4",'CBA Inputs'!N$125-'CBA Inputs'!N128,0)),0)*O$31</f>
        <v>78357.448739528656</v>
      </c>
      <c r="P103" s="17">
        <f>IFERROR('Option inputs'!$F17*(IF(Scenario_Select="Scenario 1",'CBA Inputs'!O$104-'CBA Inputs'!O107,0)+IF(Scenario_Select="Scenario 2",'CBA Inputs'!O$111-'CBA Inputs'!O114,0)+IF(Scenario_Select="Scenario 3",'CBA Inputs'!O$118-'CBA Inputs'!O121,0)+IF(Scenario_Select="Scenario 4",'CBA Inputs'!O$125-'CBA Inputs'!O128,0)),0)*P$31</f>
        <v>-2942474.8819761276</v>
      </c>
      <c r="Q103" s="17">
        <f>IFERROR('Option inputs'!$F17*(IF(Scenario_Select="Scenario 1",'CBA Inputs'!P$104-'CBA Inputs'!P107,0)+IF(Scenario_Select="Scenario 2",'CBA Inputs'!P$111-'CBA Inputs'!P114,0)+IF(Scenario_Select="Scenario 3",'CBA Inputs'!P$118-'CBA Inputs'!P121,0)+IF(Scenario_Select="Scenario 4",'CBA Inputs'!P$125-'CBA Inputs'!P128,0)),0)*Q$31</f>
        <v>-1559658.4963064194</v>
      </c>
      <c r="R103" s="17">
        <f>IFERROR('Option inputs'!$F17*(IF(Scenario_Select="Scenario 1",'CBA Inputs'!Q$104-'CBA Inputs'!Q107,0)+IF(Scenario_Select="Scenario 2",'CBA Inputs'!Q$111-'CBA Inputs'!Q114,0)+IF(Scenario_Select="Scenario 3",'CBA Inputs'!Q$118-'CBA Inputs'!Q121,0)+IF(Scenario_Select="Scenario 4",'CBA Inputs'!Q$125-'CBA Inputs'!Q128,0)),0)*R$31</f>
        <v>-2629116.8025784492</v>
      </c>
      <c r="S103" s="17">
        <f>IFERROR('Option inputs'!$F17*(IF(Scenario_Select="Scenario 1",'CBA Inputs'!R$104-'CBA Inputs'!R107,0)+IF(Scenario_Select="Scenario 2",'CBA Inputs'!R$111-'CBA Inputs'!R114,0)+IF(Scenario_Select="Scenario 3",'CBA Inputs'!R$118-'CBA Inputs'!R121,0)+IF(Scenario_Select="Scenario 4",'CBA Inputs'!R$125-'CBA Inputs'!R128,0)),0)*S$31</f>
        <v>-10160929.614805698</v>
      </c>
      <c r="T103" s="17">
        <f>IFERROR('Option inputs'!$F17*(IF(Scenario_Select="Scenario 1",'CBA Inputs'!S$104-'CBA Inputs'!S107,0)+IF(Scenario_Select="Scenario 2",'CBA Inputs'!S$111-'CBA Inputs'!S114,0)+IF(Scenario_Select="Scenario 3",'CBA Inputs'!S$118-'CBA Inputs'!S121,0)+IF(Scenario_Select="Scenario 4",'CBA Inputs'!S$125-'CBA Inputs'!S128,0)),0)*T$31</f>
        <v>-6691177.9641542435</v>
      </c>
      <c r="U103" s="17">
        <f>IFERROR('Option inputs'!$F17*(IF(Scenario_Select="Scenario 1",'CBA Inputs'!T$104-'CBA Inputs'!T107,0)+IF(Scenario_Select="Scenario 2",'CBA Inputs'!T$111-'CBA Inputs'!T114,0)+IF(Scenario_Select="Scenario 3",'CBA Inputs'!T$118-'CBA Inputs'!T121,0)+IF(Scenario_Select="Scenario 4",'CBA Inputs'!T$125-'CBA Inputs'!T128,0)),0)*U$31</f>
        <v>3537312.0301904678</v>
      </c>
      <c r="V103" s="17">
        <f>IFERROR('Option inputs'!$F17*(IF(Scenario_Select="Scenario 1",'CBA Inputs'!U$104-'CBA Inputs'!U107,0)+IF(Scenario_Select="Scenario 2",'CBA Inputs'!U$111-'CBA Inputs'!U114,0)+IF(Scenario_Select="Scenario 3",'CBA Inputs'!U$118-'CBA Inputs'!U121,0)+IF(Scenario_Select="Scenario 4",'CBA Inputs'!U$125-'CBA Inputs'!U128,0)),0)*V$31</f>
        <v>-17401443.95443964</v>
      </c>
      <c r="W103" s="17">
        <f>IFERROR('Option inputs'!$F17*(IF(Scenario_Select="Scenario 1",'CBA Inputs'!V$104-'CBA Inputs'!V107,0)+IF(Scenario_Select="Scenario 2",'CBA Inputs'!V$111-'CBA Inputs'!V114,0)+IF(Scenario_Select="Scenario 3",'CBA Inputs'!V$118-'CBA Inputs'!V121,0)+IF(Scenario_Select="Scenario 4",'CBA Inputs'!V$125-'CBA Inputs'!V128,0)),0)*W$31</f>
        <v>-17456059.294258118</v>
      </c>
      <c r="X103" s="17">
        <f>IFERROR('Option inputs'!$F17*(IF(Scenario_Select="Scenario 1",'CBA Inputs'!W$104-'CBA Inputs'!W107,0)+IF(Scenario_Select="Scenario 2",'CBA Inputs'!W$111-'CBA Inputs'!W114,0)+IF(Scenario_Select="Scenario 3",'CBA Inputs'!W$118-'CBA Inputs'!W121,0)+IF(Scenario_Select="Scenario 4",'CBA Inputs'!W$125-'CBA Inputs'!W128,0)),0)*X$31</f>
        <v>4198344.9423732758</v>
      </c>
      <c r="Y103" s="17">
        <f>IFERROR('Option inputs'!$F17*(IF(Scenario_Select="Scenario 1",'CBA Inputs'!X$104-'CBA Inputs'!X107,0)+IF(Scenario_Select="Scenario 2",'CBA Inputs'!X$111-'CBA Inputs'!X114,0)+IF(Scenario_Select="Scenario 3",'CBA Inputs'!X$118-'CBA Inputs'!X121,0)+IF(Scenario_Select="Scenario 4",'CBA Inputs'!X$125-'CBA Inputs'!X128,0)),0)*Y$31</f>
        <v>2098262.1629772186</v>
      </c>
      <c r="Z103" s="17">
        <f>IFERROR('Option inputs'!$F17*(IF(Scenario_Select="Scenario 1",'CBA Inputs'!Y$104-'CBA Inputs'!Y107,0)+IF(Scenario_Select="Scenario 2",'CBA Inputs'!Y$111-'CBA Inputs'!Y114,0)+IF(Scenario_Select="Scenario 3",'CBA Inputs'!Y$118-'CBA Inputs'!Y121,0)+IF(Scenario_Select="Scenario 4",'CBA Inputs'!Y$125-'CBA Inputs'!Y128,0)),0)*Z$31</f>
        <v>2365901.8436841965</v>
      </c>
      <c r="AA103" s="17">
        <f>IFERROR('Option inputs'!$F17*(IF(Scenario_Select="Scenario 1",'CBA Inputs'!Z$104-'CBA Inputs'!Z107,0)+IF(Scenario_Select="Scenario 2",'CBA Inputs'!Z$111-'CBA Inputs'!Z114,0)+IF(Scenario_Select="Scenario 3",'CBA Inputs'!Z$118-'CBA Inputs'!Z121,0)+IF(Scenario_Select="Scenario 4",'CBA Inputs'!Z$125-'CBA Inputs'!Z128,0)),0)*AA$31</f>
        <v>-16129430.678097725</v>
      </c>
      <c r="AB103" s="17">
        <f>IFERROR('Option inputs'!$F17*(IF(Scenario_Select="Scenario 1",'CBA Inputs'!AA$104-'CBA Inputs'!AA107,0)+IF(Scenario_Select="Scenario 2",'CBA Inputs'!AA$111-'CBA Inputs'!AA114,0)+IF(Scenario_Select="Scenario 3",'CBA Inputs'!AA$118-'CBA Inputs'!AA121,0)+IF(Scenario_Select="Scenario 4",'CBA Inputs'!AA$125-'CBA Inputs'!AA128,0)),0)*AB$31</f>
        <v>8003490.6439566612</v>
      </c>
      <c r="AC103" s="17">
        <f>IFERROR('Option inputs'!$F17*(IF(Scenario_Select="Scenario 1",'CBA Inputs'!AB$104-'CBA Inputs'!AB107,0)+IF(Scenario_Select="Scenario 2",'CBA Inputs'!AB$111-'CBA Inputs'!AB114,0)+IF(Scenario_Select="Scenario 3",'CBA Inputs'!AB$118-'CBA Inputs'!AB121,0)+IF(Scenario_Select="Scenario 4",'CBA Inputs'!AB$125-'CBA Inputs'!AB128,0)),0)*AC$31</f>
        <v>977026.30294656754</v>
      </c>
      <c r="AD103" s="17">
        <f>IFERROR('Option inputs'!$F17*(IF(Scenario_Select="Scenario 1",'CBA Inputs'!AC$104-'CBA Inputs'!AC107,0)+IF(Scenario_Select="Scenario 2",'CBA Inputs'!AC$111-'CBA Inputs'!AC114,0)+IF(Scenario_Select="Scenario 3",'CBA Inputs'!AC$118-'CBA Inputs'!AC121,0)+IF(Scenario_Select="Scenario 4",'CBA Inputs'!AC$125-'CBA Inputs'!AC128,0)),0)*AD$31</f>
        <v>-6326240.5721073151</v>
      </c>
      <c r="AE103" s="17">
        <f>IFERROR('Option inputs'!$F17*(IF(Scenario_Select="Scenario 1",'CBA Inputs'!AD$104-'CBA Inputs'!AD107,0)+IF(Scenario_Select="Scenario 2",'CBA Inputs'!AD$111-'CBA Inputs'!AD114,0)+IF(Scenario_Select="Scenario 3",'CBA Inputs'!AD$118-'CBA Inputs'!AD121,0)+IF(Scenario_Select="Scenario 4",'CBA Inputs'!AD$125-'CBA Inputs'!AD128,0)),0)*AE$31</f>
        <v>10407897.846749306</v>
      </c>
      <c r="AF103" s="17">
        <f>IFERROR('Option inputs'!$F17*(IF(Scenario_Select="Scenario 1",'CBA Inputs'!AE$104-'CBA Inputs'!AE107,0)+IF(Scenario_Select="Scenario 2",'CBA Inputs'!AE$111-'CBA Inputs'!AE114,0)+IF(Scenario_Select="Scenario 3",'CBA Inputs'!AE$118-'CBA Inputs'!AE121,0)+IF(Scenario_Select="Scenario 4",'CBA Inputs'!AE$125-'CBA Inputs'!AE128,0)),0)*AF$31</f>
        <v>11652624.446687222</v>
      </c>
      <c r="AG103" s="17">
        <f>IFERROR('Option inputs'!$F17*(IF(Scenario_Select="Scenario 1",'CBA Inputs'!AF$104-'CBA Inputs'!AF107,0)+IF(Scenario_Select="Scenario 2",'CBA Inputs'!AF$111-'CBA Inputs'!AF114,0)+IF(Scenario_Select="Scenario 3",'CBA Inputs'!AF$118-'CBA Inputs'!AF121,0)+IF(Scenario_Select="Scenario 4",'CBA Inputs'!AF$125-'CBA Inputs'!AF128,0)),0)*AG$31</f>
        <v>0</v>
      </c>
      <c r="AH103" s="17">
        <f>IFERROR('Option inputs'!$F17*(IF(Scenario_Select="Scenario 1",'CBA Inputs'!AG$104-'CBA Inputs'!AG107,0)+IF(Scenario_Select="Scenario 2",'CBA Inputs'!AG$111-'CBA Inputs'!AG114,0)+IF(Scenario_Select="Scenario 3",'CBA Inputs'!AG$118-'CBA Inputs'!AG121,0)+IF(Scenario_Select="Scenario 4",'CBA Inputs'!AG$125-'CBA Inputs'!AG128,0)),0)*AH$31</f>
        <v>0</v>
      </c>
      <c r="AI103" s="17">
        <f>IFERROR('Option inputs'!$F17*(IF(Scenario_Select="Scenario 1",'CBA Inputs'!AH$104-'CBA Inputs'!AH107,0)+IF(Scenario_Select="Scenario 2",'CBA Inputs'!AH$111-'CBA Inputs'!AH114,0)+IF(Scenario_Select="Scenario 3",'CBA Inputs'!AH$118-'CBA Inputs'!AH121,0)+IF(Scenario_Select="Scenario 4",'CBA Inputs'!AH$125-'CBA Inputs'!AH128,0)),0)*AI$31</f>
        <v>0</v>
      </c>
      <c r="AJ103" s="17">
        <f>IFERROR('Option inputs'!$F17*(IF(Scenario_Select="Scenario 1",'CBA Inputs'!AI$104-'CBA Inputs'!AI107,0)+IF(Scenario_Select="Scenario 2",'CBA Inputs'!AI$111-'CBA Inputs'!AI114,0)+IF(Scenario_Select="Scenario 3",'CBA Inputs'!AI$118-'CBA Inputs'!AI121,0)+IF(Scenario_Select="Scenario 4",'CBA Inputs'!AI$125-'CBA Inputs'!AI128,0)),0)*AJ$31</f>
        <v>0</v>
      </c>
    </row>
    <row r="104" spans="2:36" x14ac:dyDescent="0.35">
      <c r="B104" s="9">
        <f>+'Option inputs'!$B$18</f>
        <v>4</v>
      </c>
      <c r="C104" s="14" t="str">
        <f>+'Option inputs'!$C$18</f>
        <v>Option 1D</v>
      </c>
      <c r="D104" s="25"/>
      <c r="E104" s="12" t="s">
        <v>35</v>
      </c>
      <c r="F104" s="18">
        <f t="shared" si="46"/>
        <v>-6824647.3119368963</v>
      </c>
      <c r="G104" s="17">
        <f>IFERROR('Option inputs'!$F18*(IF(Scenario_Select="Scenario 1",'CBA Inputs'!F$104-'CBA Inputs'!F108,0)+IF(Scenario_Select="Scenario 2",'CBA Inputs'!F$111-'CBA Inputs'!F115,0)+IF(Scenario_Select="Scenario 3",'CBA Inputs'!F$118-'CBA Inputs'!F122,0)+IF(Scenario_Select="Scenario 4",'CBA Inputs'!F$125-'CBA Inputs'!F129,0)),0)*G$31</f>
        <v>0</v>
      </c>
      <c r="H104" s="17">
        <f>IFERROR('Option inputs'!$F18*(IF(Scenario_Select="Scenario 1",'CBA Inputs'!G$104-'CBA Inputs'!G108,0)+IF(Scenario_Select="Scenario 2",'CBA Inputs'!G$111-'CBA Inputs'!G115,0)+IF(Scenario_Select="Scenario 3",'CBA Inputs'!G$118-'CBA Inputs'!G122,0)+IF(Scenario_Select="Scenario 4",'CBA Inputs'!G$125-'CBA Inputs'!G129,0)),0)*H$31</f>
        <v>-12.306588649749756</v>
      </c>
      <c r="I104" s="17">
        <f>IFERROR('Option inputs'!$F18*(IF(Scenario_Select="Scenario 1",'CBA Inputs'!H$104-'CBA Inputs'!H108,0)+IF(Scenario_Select="Scenario 2",'CBA Inputs'!H$111-'CBA Inputs'!H115,0)+IF(Scenario_Select="Scenario 3",'CBA Inputs'!H$118-'CBA Inputs'!H122,0)+IF(Scenario_Select="Scenario 4",'CBA Inputs'!H$125-'CBA Inputs'!H129,0)),0)*I$31</f>
        <v>12182.496549606323</v>
      </c>
      <c r="J104" s="17">
        <f>IFERROR('Option inputs'!$F18*(IF(Scenario_Select="Scenario 1",'CBA Inputs'!I$104-'CBA Inputs'!I108,0)+IF(Scenario_Select="Scenario 2",'CBA Inputs'!I$111-'CBA Inputs'!I115,0)+IF(Scenario_Select="Scenario 3",'CBA Inputs'!I$118-'CBA Inputs'!I122,0)+IF(Scenario_Select="Scenario 4",'CBA Inputs'!I$125-'CBA Inputs'!I129,0)),0)*J$31</f>
        <v>79325.535417079926</v>
      </c>
      <c r="K104" s="17">
        <f>IFERROR('Option inputs'!$F18*(IF(Scenario_Select="Scenario 1",'CBA Inputs'!J$104-'CBA Inputs'!J108,0)+IF(Scenario_Select="Scenario 2",'CBA Inputs'!J$111-'CBA Inputs'!J115,0)+IF(Scenario_Select="Scenario 3",'CBA Inputs'!J$118-'CBA Inputs'!J122,0)+IF(Scenario_Select="Scenario 4",'CBA Inputs'!J$125-'CBA Inputs'!J129,0)),0)*K$31</f>
        <v>-310159.78924798965</v>
      </c>
      <c r="L104" s="17">
        <f>IFERROR('Option inputs'!$F18*(IF(Scenario_Select="Scenario 1",'CBA Inputs'!K$104-'CBA Inputs'!K108,0)+IF(Scenario_Select="Scenario 2",'CBA Inputs'!K$111-'CBA Inputs'!K115,0)+IF(Scenario_Select="Scenario 3",'CBA Inputs'!K$118-'CBA Inputs'!K122,0)+IF(Scenario_Select="Scenario 4",'CBA Inputs'!K$125-'CBA Inputs'!K129,0)),0)*L$31</f>
        <v>-584419.67457008362</v>
      </c>
      <c r="M104" s="17">
        <f>IFERROR('Option inputs'!$F18*(IF(Scenario_Select="Scenario 1",'CBA Inputs'!L$104-'CBA Inputs'!L108,0)+IF(Scenario_Select="Scenario 2",'CBA Inputs'!L$111-'CBA Inputs'!L115,0)+IF(Scenario_Select="Scenario 3",'CBA Inputs'!L$118-'CBA Inputs'!L122,0)+IF(Scenario_Select="Scenario 4",'CBA Inputs'!L$125-'CBA Inputs'!L129,0)),0)*M$31</f>
        <v>-80140.492356300354</v>
      </c>
      <c r="N104" s="17">
        <f>IFERROR('Option inputs'!$F18*(IF(Scenario_Select="Scenario 1",'CBA Inputs'!M$104-'CBA Inputs'!M108,0)+IF(Scenario_Select="Scenario 2",'CBA Inputs'!M$111-'CBA Inputs'!M115,0)+IF(Scenario_Select="Scenario 3",'CBA Inputs'!M$118-'CBA Inputs'!M122,0)+IF(Scenario_Select="Scenario 4",'CBA Inputs'!M$125-'CBA Inputs'!M129,0)),0)*N$31</f>
        <v>-1401027.2393398285</v>
      </c>
      <c r="O104" s="17">
        <f>IFERROR('Option inputs'!$F18*(IF(Scenario_Select="Scenario 1",'CBA Inputs'!N$104-'CBA Inputs'!N108,0)+IF(Scenario_Select="Scenario 2",'CBA Inputs'!N$111-'CBA Inputs'!N115,0)+IF(Scenario_Select="Scenario 3",'CBA Inputs'!N$118-'CBA Inputs'!N122,0)+IF(Scenario_Select="Scenario 4",'CBA Inputs'!N$125-'CBA Inputs'!N129,0)),0)*O$31</f>
        <v>-131340.70858764648</v>
      </c>
      <c r="P104" s="17">
        <f>IFERROR('Option inputs'!$F18*(IF(Scenario_Select="Scenario 1",'CBA Inputs'!O$104-'CBA Inputs'!O108,0)+IF(Scenario_Select="Scenario 2",'CBA Inputs'!O$111-'CBA Inputs'!O115,0)+IF(Scenario_Select="Scenario 3",'CBA Inputs'!O$118-'CBA Inputs'!O122,0)+IF(Scenario_Select="Scenario 4",'CBA Inputs'!O$125-'CBA Inputs'!O129,0)),0)*P$31</f>
        <v>-3097996.349003315</v>
      </c>
      <c r="Q104" s="17">
        <f>IFERROR('Option inputs'!$F18*(IF(Scenario_Select="Scenario 1",'CBA Inputs'!P$104-'CBA Inputs'!P108,0)+IF(Scenario_Select="Scenario 2",'CBA Inputs'!P$111-'CBA Inputs'!P115,0)+IF(Scenario_Select="Scenario 3",'CBA Inputs'!P$118-'CBA Inputs'!P122,0)+IF(Scenario_Select="Scenario 4",'CBA Inputs'!P$125-'CBA Inputs'!P129,0)),0)*Q$31</f>
        <v>-52218.922552108765</v>
      </c>
      <c r="R104" s="17">
        <f>IFERROR('Option inputs'!$F18*(IF(Scenario_Select="Scenario 1",'CBA Inputs'!Q$104-'CBA Inputs'!Q108,0)+IF(Scenario_Select="Scenario 2",'CBA Inputs'!Q$111-'CBA Inputs'!Q115,0)+IF(Scenario_Select="Scenario 3",'CBA Inputs'!Q$118-'CBA Inputs'!Q122,0)+IF(Scenario_Select="Scenario 4",'CBA Inputs'!Q$125-'CBA Inputs'!Q129,0)),0)*R$31</f>
        <v>-1185797.0226202011</v>
      </c>
      <c r="S104" s="17">
        <f>IFERROR('Option inputs'!$F18*(IF(Scenario_Select="Scenario 1",'CBA Inputs'!R$104-'CBA Inputs'!R108,0)+IF(Scenario_Select="Scenario 2",'CBA Inputs'!R$111-'CBA Inputs'!R115,0)+IF(Scenario_Select="Scenario 3",'CBA Inputs'!R$118-'CBA Inputs'!R122,0)+IF(Scenario_Select="Scenario 4",'CBA Inputs'!R$125-'CBA Inputs'!R129,0)),0)*S$31</f>
        <v>-3831333.2782921791</v>
      </c>
      <c r="T104" s="17">
        <f>IFERROR('Option inputs'!$F18*(IF(Scenario_Select="Scenario 1",'CBA Inputs'!S$104-'CBA Inputs'!S108,0)+IF(Scenario_Select="Scenario 2",'CBA Inputs'!S$111-'CBA Inputs'!S115,0)+IF(Scenario_Select="Scenario 3",'CBA Inputs'!S$118-'CBA Inputs'!S122,0)+IF(Scenario_Select="Scenario 4",'CBA Inputs'!S$125-'CBA Inputs'!S129,0)),0)*T$31</f>
        <v>-3318906.5317339897</v>
      </c>
      <c r="U104" s="17">
        <f>IFERROR('Option inputs'!$F18*(IF(Scenario_Select="Scenario 1",'CBA Inputs'!T$104-'CBA Inputs'!T108,0)+IF(Scenario_Select="Scenario 2",'CBA Inputs'!T$111-'CBA Inputs'!T115,0)+IF(Scenario_Select="Scenario 3",'CBA Inputs'!T$118-'CBA Inputs'!T122,0)+IF(Scenario_Select="Scenario 4",'CBA Inputs'!T$125-'CBA Inputs'!T129,0)),0)*U$31</f>
        <v>415426.786195755</v>
      </c>
      <c r="V104" s="17">
        <f>IFERROR('Option inputs'!$F18*(IF(Scenario_Select="Scenario 1",'CBA Inputs'!U$104-'CBA Inputs'!U108,0)+IF(Scenario_Select="Scenario 2",'CBA Inputs'!U$111-'CBA Inputs'!U115,0)+IF(Scenario_Select="Scenario 3",'CBA Inputs'!U$118-'CBA Inputs'!U122,0)+IF(Scenario_Select="Scenario 4",'CBA Inputs'!U$125-'CBA Inputs'!U129,0)),0)*V$31</f>
        <v>-2593341.4382457733</v>
      </c>
      <c r="W104" s="17">
        <f>IFERROR('Option inputs'!$F18*(IF(Scenario_Select="Scenario 1",'CBA Inputs'!V$104-'CBA Inputs'!V108,0)+IF(Scenario_Select="Scenario 2",'CBA Inputs'!V$111-'CBA Inputs'!V115,0)+IF(Scenario_Select="Scenario 3",'CBA Inputs'!V$118-'CBA Inputs'!V122,0)+IF(Scenario_Select="Scenario 4",'CBA Inputs'!V$125-'CBA Inputs'!V129,0)),0)*W$31</f>
        <v>-8394011.7704963684</v>
      </c>
      <c r="X104" s="17">
        <f>IFERROR('Option inputs'!$F18*(IF(Scenario_Select="Scenario 1",'CBA Inputs'!W$104-'CBA Inputs'!W108,0)+IF(Scenario_Select="Scenario 2",'CBA Inputs'!W$111-'CBA Inputs'!W115,0)+IF(Scenario_Select="Scenario 3",'CBA Inputs'!W$118-'CBA Inputs'!W122,0)+IF(Scenario_Select="Scenario 4",'CBA Inputs'!W$125-'CBA Inputs'!W129,0)),0)*X$31</f>
        <v>3896732.2568869591</v>
      </c>
      <c r="Y104" s="17">
        <f>IFERROR('Option inputs'!$F18*(IF(Scenario_Select="Scenario 1",'CBA Inputs'!X$104-'CBA Inputs'!X108,0)+IF(Scenario_Select="Scenario 2",'CBA Inputs'!X$111-'CBA Inputs'!X115,0)+IF(Scenario_Select="Scenario 3",'CBA Inputs'!X$118-'CBA Inputs'!X122,0)+IF(Scenario_Select="Scenario 4",'CBA Inputs'!X$125-'CBA Inputs'!X129,0)),0)*Y$31</f>
        <v>1279462.474354744</v>
      </c>
      <c r="Z104" s="17">
        <f>IFERROR('Option inputs'!$F18*(IF(Scenario_Select="Scenario 1",'CBA Inputs'!Y$104-'CBA Inputs'!Y108,0)+IF(Scenario_Select="Scenario 2",'CBA Inputs'!Y$111-'CBA Inputs'!Y115,0)+IF(Scenario_Select="Scenario 3",'CBA Inputs'!Y$118-'CBA Inputs'!Y122,0)+IF(Scenario_Select="Scenario 4",'CBA Inputs'!Y$125-'CBA Inputs'!Y129,0)),0)*Z$31</f>
        <v>1077503.9716787338</v>
      </c>
      <c r="AA104" s="17">
        <f>IFERROR('Option inputs'!$F18*(IF(Scenario_Select="Scenario 1",'CBA Inputs'!Z$104-'CBA Inputs'!Z108,0)+IF(Scenario_Select="Scenario 2",'CBA Inputs'!Z$111-'CBA Inputs'!Z115,0)+IF(Scenario_Select="Scenario 3",'CBA Inputs'!Z$118-'CBA Inputs'!Z122,0)+IF(Scenario_Select="Scenario 4",'CBA Inputs'!Z$125-'CBA Inputs'!Z129,0)),0)*AA$31</f>
        <v>-7733657.3420834541</v>
      </c>
      <c r="AB104" s="17">
        <f>IFERROR('Option inputs'!$F18*(IF(Scenario_Select="Scenario 1",'CBA Inputs'!AA$104-'CBA Inputs'!AA108,0)+IF(Scenario_Select="Scenario 2",'CBA Inputs'!AA$111-'CBA Inputs'!AA115,0)+IF(Scenario_Select="Scenario 3",'CBA Inputs'!AA$118-'CBA Inputs'!AA122,0)+IF(Scenario_Select="Scenario 4",'CBA Inputs'!AA$125-'CBA Inputs'!AA129,0)),0)*AB$31</f>
        <v>4322466.2981190681</v>
      </c>
      <c r="AC104" s="17">
        <f>IFERROR('Option inputs'!$F18*(IF(Scenario_Select="Scenario 1",'CBA Inputs'!AB$104-'CBA Inputs'!AB108,0)+IF(Scenario_Select="Scenario 2",'CBA Inputs'!AB$111-'CBA Inputs'!AB115,0)+IF(Scenario_Select="Scenario 3",'CBA Inputs'!AB$118-'CBA Inputs'!AB122,0)+IF(Scenario_Select="Scenario 4",'CBA Inputs'!AB$125-'CBA Inputs'!AB129,0)),0)*AC$31</f>
        <v>2574590.1842441559</v>
      </c>
      <c r="AD104" s="17">
        <f>IFERROR('Option inputs'!$F18*(IF(Scenario_Select="Scenario 1",'CBA Inputs'!AC$104-'CBA Inputs'!AC108,0)+IF(Scenario_Select="Scenario 2",'CBA Inputs'!AC$111-'CBA Inputs'!AC115,0)+IF(Scenario_Select="Scenario 3",'CBA Inputs'!AC$118-'CBA Inputs'!AC122,0)+IF(Scenario_Select="Scenario 4",'CBA Inputs'!AC$125-'CBA Inputs'!AC129,0)),0)*AD$31</f>
        <v>948380.2796754837</v>
      </c>
      <c r="AE104" s="17">
        <f>IFERROR('Option inputs'!$F18*(IF(Scenario_Select="Scenario 1",'CBA Inputs'!AD$104-'CBA Inputs'!AD108,0)+IF(Scenario_Select="Scenario 2",'CBA Inputs'!AD$111-'CBA Inputs'!AD115,0)+IF(Scenario_Select="Scenario 3",'CBA Inputs'!AD$118-'CBA Inputs'!AD122,0)+IF(Scenario_Select="Scenario 4",'CBA Inputs'!AD$125-'CBA Inputs'!AD129,0)),0)*AE$31</f>
        <v>5440452.2806811333</v>
      </c>
      <c r="AF104" s="17">
        <f>IFERROR('Option inputs'!$F18*(IF(Scenario_Select="Scenario 1",'CBA Inputs'!AE$104-'CBA Inputs'!AE108,0)+IF(Scenario_Select="Scenario 2",'CBA Inputs'!AE$111-'CBA Inputs'!AE115,0)+IF(Scenario_Select="Scenario 3",'CBA Inputs'!AE$118-'CBA Inputs'!AE122,0)+IF(Scenario_Select="Scenario 4",'CBA Inputs'!AE$125-'CBA Inputs'!AE129,0)),0)*AF$31</f>
        <v>8516433.0896964073</v>
      </c>
      <c r="AG104" s="17">
        <f>IFERROR('Option inputs'!$F18*(IF(Scenario_Select="Scenario 1",'CBA Inputs'!AF$104-'CBA Inputs'!AF108,0)+IF(Scenario_Select="Scenario 2",'CBA Inputs'!AF$111-'CBA Inputs'!AF115,0)+IF(Scenario_Select="Scenario 3",'CBA Inputs'!AF$118-'CBA Inputs'!AF122,0)+IF(Scenario_Select="Scenario 4",'CBA Inputs'!AF$125-'CBA Inputs'!AF129,0)),0)*AG$31</f>
        <v>0</v>
      </c>
      <c r="AH104" s="17">
        <f>IFERROR('Option inputs'!$F18*(IF(Scenario_Select="Scenario 1",'CBA Inputs'!AG$104-'CBA Inputs'!AG108,0)+IF(Scenario_Select="Scenario 2",'CBA Inputs'!AG$111-'CBA Inputs'!AG115,0)+IF(Scenario_Select="Scenario 3",'CBA Inputs'!AG$118-'CBA Inputs'!AG122,0)+IF(Scenario_Select="Scenario 4",'CBA Inputs'!AG$125-'CBA Inputs'!AG129,0)),0)*AH$31</f>
        <v>0</v>
      </c>
      <c r="AI104" s="17">
        <f>IFERROR('Option inputs'!$F18*(IF(Scenario_Select="Scenario 1",'CBA Inputs'!AH$104-'CBA Inputs'!AH108,0)+IF(Scenario_Select="Scenario 2",'CBA Inputs'!AH$111-'CBA Inputs'!AH115,0)+IF(Scenario_Select="Scenario 3",'CBA Inputs'!AH$118-'CBA Inputs'!AH122,0)+IF(Scenario_Select="Scenario 4",'CBA Inputs'!AH$125-'CBA Inputs'!AH129,0)),0)*AI$31</f>
        <v>0</v>
      </c>
      <c r="AJ104" s="17">
        <f>IFERROR('Option inputs'!$F18*(IF(Scenario_Select="Scenario 1",'CBA Inputs'!AI$104-'CBA Inputs'!AI108,0)+IF(Scenario_Select="Scenario 2",'CBA Inputs'!AI$111-'CBA Inputs'!AI115,0)+IF(Scenario_Select="Scenario 3",'CBA Inputs'!AI$118-'CBA Inputs'!AI122,0)+IF(Scenario_Select="Scenario 4",'CBA Inputs'!AI$125-'CBA Inputs'!AI129,0)),0)*AJ$31</f>
        <v>0</v>
      </c>
    </row>
    <row r="106" spans="2:36" x14ac:dyDescent="0.35">
      <c r="B106" s="5" t="str">
        <f>+'CBA Inputs'!B131</f>
        <v xml:space="preserve">Voluntary load curtailment </v>
      </c>
      <c r="C106" s="27"/>
      <c r="D106" s="27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2:36" x14ac:dyDescent="0.35">
      <c r="B107" s="7" t="s">
        <v>14</v>
      </c>
      <c r="C107" s="10" t="s">
        <v>13</v>
      </c>
      <c r="D107" s="10"/>
      <c r="E107" s="8" t="s">
        <v>22</v>
      </c>
      <c r="F107" s="8" t="s">
        <v>37</v>
      </c>
      <c r="G107" s="13" t="str">
        <f>G$32</f>
        <v>FY 2019-20</v>
      </c>
      <c r="H107" s="13" t="str">
        <f t="shared" ref="H107:AJ107" si="47">H$32</f>
        <v>FY 2020-21</v>
      </c>
      <c r="I107" s="13" t="str">
        <f t="shared" si="47"/>
        <v>FY 2021-22</v>
      </c>
      <c r="J107" s="13" t="str">
        <f t="shared" si="47"/>
        <v>FY 2022-23</v>
      </c>
      <c r="K107" s="13" t="str">
        <f t="shared" si="47"/>
        <v>FY 2023-24</v>
      </c>
      <c r="L107" s="13" t="str">
        <f t="shared" si="47"/>
        <v>FY 2024-25</v>
      </c>
      <c r="M107" s="13" t="str">
        <f t="shared" si="47"/>
        <v>FY 2025-26</v>
      </c>
      <c r="N107" s="13" t="str">
        <f t="shared" si="47"/>
        <v>FY 2026-27</v>
      </c>
      <c r="O107" s="13" t="str">
        <f t="shared" si="47"/>
        <v>FY 2027-28</v>
      </c>
      <c r="P107" s="13" t="str">
        <f t="shared" si="47"/>
        <v>FY 2028-29</v>
      </c>
      <c r="Q107" s="13" t="str">
        <f t="shared" si="47"/>
        <v>FY 2029-30</v>
      </c>
      <c r="R107" s="13" t="str">
        <f t="shared" si="47"/>
        <v>FY 2030-31</v>
      </c>
      <c r="S107" s="13" t="str">
        <f t="shared" si="47"/>
        <v>FY 2031-32</v>
      </c>
      <c r="T107" s="13" t="str">
        <f t="shared" si="47"/>
        <v>FY 2032-33</v>
      </c>
      <c r="U107" s="13" t="str">
        <f t="shared" si="47"/>
        <v>FY 2033-34</v>
      </c>
      <c r="V107" s="13" t="str">
        <f t="shared" si="47"/>
        <v>FY 2034-35</v>
      </c>
      <c r="W107" s="13" t="str">
        <f t="shared" si="47"/>
        <v>FY 2035-36</v>
      </c>
      <c r="X107" s="13" t="str">
        <f t="shared" si="47"/>
        <v>FY 2036-37</v>
      </c>
      <c r="Y107" s="13" t="str">
        <f t="shared" si="47"/>
        <v>FY 2037-38</v>
      </c>
      <c r="Z107" s="13" t="str">
        <f t="shared" si="47"/>
        <v>FY 2038-39</v>
      </c>
      <c r="AA107" s="13" t="str">
        <f t="shared" si="47"/>
        <v>FY 2039-40</v>
      </c>
      <c r="AB107" s="13" t="str">
        <f t="shared" si="47"/>
        <v>FY 2040-41</v>
      </c>
      <c r="AC107" s="13" t="str">
        <f t="shared" si="47"/>
        <v>FY 2041-42</v>
      </c>
      <c r="AD107" s="13" t="str">
        <f t="shared" si="47"/>
        <v>FY 2042-43</v>
      </c>
      <c r="AE107" s="13" t="str">
        <f t="shared" si="47"/>
        <v>FY 2043-44</v>
      </c>
      <c r="AF107" s="13" t="str">
        <f t="shared" si="47"/>
        <v>FY 2044-45</v>
      </c>
      <c r="AG107" s="13" t="str">
        <f t="shared" si="47"/>
        <v>FY 2045-46</v>
      </c>
      <c r="AH107" s="13" t="str">
        <f t="shared" si="47"/>
        <v>FY 2046-47</v>
      </c>
      <c r="AI107" s="13" t="str">
        <f t="shared" si="47"/>
        <v>FY 2047-48</v>
      </c>
      <c r="AJ107" s="13" t="str">
        <f t="shared" si="47"/>
        <v>FY 2048-49</v>
      </c>
    </row>
    <row r="108" spans="2:36" x14ac:dyDescent="0.35">
      <c r="B108" s="9">
        <f>'Option inputs'!B15</f>
        <v>1</v>
      </c>
      <c r="C108" s="14" t="str">
        <f>+'Option inputs'!C15</f>
        <v>Option 1A</v>
      </c>
      <c r="D108" s="25"/>
      <c r="E108" s="12" t="s">
        <v>35</v>
      </c>
      <c r="F108" s="18">
        <f t="shared" ref="F108:F111" si="48">NPV(DiscountRate_ACTIVE,G108:AJ108)/(1+DiscountRate_ACTIVE)^(FirstYear-BaseYear-2)</f>
        <v>4112148.4597841837</v>
      </c>
      <c r="G108" s="17">
        <f>IFERROR('Option inputs'!$F15*(IF(Scenario_Select="Scenario 1",'CBA Inputs'!F$134-'CBA Inputs'!F135,0)+IF(Scenario_Select="Scenario 2",'CBA Inputs'!F$141-'CBA Inputs'!F142,0)+IF(Scenario_Select="Scenario 3",'CBA Inputs'!F$148-'CBA Inputs'!F149,0)+IF(Scenario_Select="Scenario 4",'CBA Inputs'!F$155-'CBA Inputs'!F156,0)),0)*G$31</f>
        <v>0</v>
      </c>
      <c r="H108" s="17">
        <f>IFERROR('Option inputs'!$F15*(IF(Scenario_Select="Scenario 1",'CBA Inputs'!G$134-'CBA Inputs'!G135,0)+IF(Scenario_Select="Scenario 2",'CBA Inputs'!G$141-'CBA Inputs'!G142,0)+IF(Scenario_Select="Scenario 3",'CBA Inputs'!G$148-'CBA Inputs'!G149,0)+IF(Scenario_Select="Scenario 4",'CBA Inputs'!G$155-'CBA Inputs'!G156,0)),0)*H$31</f>
        <v>2.5180001663975418</v>
      </c>
      <c r="I108" s="17">
        <f>IFERROR('Option inputs'!$F15*(IF(Scenario_Select="Scenario 1",'CBA Inputs'!H$134-'CBA Inputs'!H135,0)+IF(Scenario_Select="Scenario 2",'CBA Inputs'!H$141-'CBA Inputs'!H142,0)+IF(Scenario_Select="Scenario 3",'CBA Inputs'!H$148-'CBA Inputs'!H149,0)+IF(Scenario_Select="Scenario 4",'CBA Inputs'!H$155-'CBA Inputs'!H156,0)),0)*I$31</f>
        <v>2.6896416268427856</v>
      </c>
      <c r="J108" s="17">
        <f>IFERROR('Option inputs'!$F15*(IF(Scenario_Select="Scenario 1",'CBA Inputs'!I$134-'CBA Inputs'!I135,0)+IF(Scenario_Select="Scenario 2",'CBA Inputs'!I$141-'CBA Inputs'!I142,0)+IF(Scenario_Select="Scenario 3",'CBA Inputs'!I$148-'CBA Inputs'!I149,0)+IF(Scenario_Select="Scenario 4",'CBA Inputs'!I$155-'CBA Inputs'!I156,0)),0)*J$31</f>
        <v>157132.49162080698</v>
      </c>
      <c r="K108" s="17">
        <f>IFERROR('Option inputs'!$F15*(IF(Scenario_Select="Scenario 1",'CBA Inputs'!J$134-'CBA Inputs'!J135,0)+IF(Scenario_Select="Scenario 2",'CBA Inputs'!J$141-'CBA Inputs'!J142,0)+IF(Scenario_Select="Scenario 3",'CBA Inputs'!J$148-'CBA Inputs'!J149,0)+IF(Scenario_Select="Scenario 4",'CBA Inputs'!J$155-'CBA Inputs'!J156,0)),0)*K$31</f>
        <v>174916.44679038227</v>
      </c>
      <c r="L108" s="17">
        <f>IFERROR('Option inputs'!$F15*(IF(Scenario_Select="Scenario 1",'CBA Inputs'!K$134-'CBA Inputs'!K135,0)+IF(Scenario_Select="Scenario 2",'CBA Inputs'!K$141-'CBA Inputs'!K142,0)+IF(Scenario_Select="Scenario 3",'CBA Inputs'!K$148-'CBA Inputs'!K149,0)+IF(Scenario_Select="Scenario 4",'CBA Inputs'!K$155-'CBA Inputs'!K156,0)),0)*L$31</f>
        <v>32714.038506436162</v>
      </c>
      <c r="M108" s="17">
        <f>IFERROR('Option inputs'!$F15*(IF(Scenario_Select="Scenario 1",'CBA Inputs'!L$134-'CBA Inputs'!L135,0)+IF(Scenario_Select="Scenario 2",'CBA Inputs'!L$141-'CBA Inputs'!L142,0)+IF(Scenario_Select="Scenario 3",'CBA Inputs'!L$148-'CBA Inputs'!L149,0)+IF(Scenario_Select="Scenario 4",'CBA Inputs'!L$155-'CBA Inputs'!L156,0)),0)*M$31</f>
        <v>3.4424297206480134</v>
      </c>
      <c r="N108" s="17">
        <f>IFERROR('Option inputs'!$F15*(IF(Scenario_Select="Scenario 1",'CBA Inputs'!M$134-'CBA Inputs'!M135,0)+IF(Scenario_Select="Scenario 2",'CBA Inputs'!M$141-'CBA Inputs'!M142,0)+IF(Scenario_Select="Scenario 3",'CBA Inputs'!M$148-'CBA Inputs'!M149,0)+IF(Scenario_Select="Scenario 4",'CBA Inputs'!M$155-'CBA Inputs'!M156,0)),0)*N$31</f>
        <v>2933.4182673134274</v>
      </c>
      <c r="O108" s="17">
        <f>IFERROR('Option inputs'!$F15*(IF(Scenario_Select="Scenario 1",'CBA Inputs'!N$134-'CBA Inputs'!N135,0)+IF(Scenario_Select="Scenario 2",'CBA Inputs'!N$141-'CBA Inputs'!N142,0)+IF(Scenario_Select="Scenario 3",'CBA Inputs'!N$148-'CBA Inputs'!N149,0)+IF(Scenario_Select="Scenario 4",'CBA Inputs'!N$155-'CBA Inputs'!N156,0)),0)*O$31</f>
        <v>1575.2479798389177</v>
      </c>
      <c r="P108" s="17">
        <f>IFERROR('Option inputs'!$F15*(IF(Scenario_Select="Scenario 1",'CBA Inputs'!O$134-'CBA Inputs'!O135,0)+IF(Scenario_Select="Scenario 2",'CBA Inputs'!O$141-'CBA Inputs'!O142,0)+IF(Scenario_Select="Scenario 3",'CBA Inputs'!O$148-'CBA Inputs'!O149,0)+IF(Scenario_Select="Scenario 4",'CBA Inputs'!O$155-'CBA Inputs'!O156,0)),0)*P$31</f>
        <v>46169.064047214342</v>
      </c>
      <c r="Q108" s="17">
        <f>IFERROR('Option inputs'!$F15*(IF(Scenario_Select="Scenario 1",'CBA Inputs'!P$134-'CBA Inputs'!P135,0)+IF(Scenario_Select="Scenario 2",'CBA Inputs'!P$141-'CBA Inputs'!P142,0)+IF(Scenario_Select="Scenario 3",'CBA Inputs'!P$148-'CBA Inputs'!P149,0)+IF(Scenario_Select="Scenario 4",'CBA Inputs'!P$155-'CBA Inputs'!P156,0)),0)*Q$31</f>
        <v>7016.3840722828172</v>
      </c>
      <c r="R108" s="17">
        <f>IFERROR('Option inputs'!$F15*(IF(Scenario_Select="Scenario 1",'CBA Inputs'!Q$134-'CBA Inputs'!Q135,0)+IF(Scenario_Select="Scenario 2",'CBA Inputs'!Q$141-'CBA Inputs'!Q142,0)+IF(Scenario_Select="Scenario 3",'CBA Inputs'!Q$148-'CBA Inputs'!Q149,0)+IF(Scenario_Select="Scenario 4",'CBA Inputs'!Q$155-'CBA Inputs'!Q156,0)),0)*R$31</f>
        <v>-14314.732554638991</v>
      </c>
      <c r="S108" s="17">
        <f>IFERROR('Option inputs'!$F15*(IF(Scenario_Select="Scenario 1",'CBA Inputs'!R$134-'CBA Inputs'!R135,0)+IF(Scenario_Select="Scenario 2",'CBA Inputs'!R$141-'CBA Inputs'!R142,0)+IF(Scenario_Select="Scenario 3",'CBA Inputs'!R$148-'CBA Inputs'!R149,0)+IF(Scenario_Select="Scenario 4",'CBA Inputs'!R$155-'CBA Inputs'!R156,0)),0)*S$31</f>
        <v>16026.227727186168</v>
      </c>
      <c r="T108" s="17">
        <f>IFERROR('Option inputs'!$F15*(IF(Scenario_Select="Scenario 1",'CBA Inputs'!S$134-'CBA Inputs'!S135,0)+IF(Scenario_Select="Scenario 2",'CBA Inputs'!S$141-'CBA Inputs'!S142,0)+IF(Scenario_Select="Scenario 3",'CBA Inputs'!S$148-'CBA Inputs'!S149,0)+IF(Scenario_Select="Scenario 4",'CBA Inputs'!S$155-'CBA Inputs'!S156,0)),0)*T$31</f>
        <v>786183.14799528662</v>
      </c>
      <c r="U108" s="17">
        <f>IFERROR('Option inputs'!$F15*(IF(Scenario_Select="Scenario 1",'CBA Inputs'!T$134-'CBA Inputs'!T135,0)+IF(Scenario_Select="Scenario 2",'CBA Inputs'!T$141-'CBA Inputs'!T142,0)+IF(Scenario_Select="Scenario 3",'CBA Inputs'!T$148-'CBA Inputs'!T149,0)+IF(Scenario_Select="Scenario 4",'CBA Inputs'!T$155-'CBA Inputs'!T156,0)),0)*U$31</f>
        <v>420564.59430221003</v>
      </c>
      <c r="V108" s="17">
        <f>IFERROR('Option inputs'!$F15*(IF(Scenario_Select="Scenario 1",'CBA Inputs'!U$134-'CBA Inputs'!U135,0)+IF(Scenario_Select="Scenario 2",'CBA Inputs'!U$141-'CBA Inputs'!U142,0)+IF(Scenario_Select="Scenario 3",'CBA Inputs'!U$148-'CBA Inputs'!U149,0)+IF(Scenario_Select="Scenario 4",'CBA Inputs'!U$155-'CBA Inputs'!U156,0)),0)*V$31</f>
        <v>1068156.9628534652</v>
      </c>
      <c r="W108" s="17">
        <f>IFERROR('Option inputs'!$F15*(IF(Scenario_Select="Scenario 1",'CBA Inputs'!V$134-'CBA Inputs'!V135,0)+IF(Scenario_Select="Scenario 2",'CBA Inputs'!V$141-'CBA Inputs'!V142,0)+IF(Scenario_Select="Scenario 3",'CBA Inputs'!V$148-'CBA Inputs'!V149,0)+IF(Scenario_Select="Scenario 4",'CBA Inputs'!V$155-'CBA Inputs'!V156,0)),0)*W$31</f>
        <v>2083160.1754248198</v>
      </c>
      <c r="X108" s="17">
        <f>IFERROR('Option inputs'!$F15*(IF(Scenario_Select="Scenario 1",'CBA Inputs'!W$134-'CBA Inputs'!W135,0)+IF(Scenario_Select="Scenario 2",'CBA Inputs'!W$141-'CBA Inputs'!W142,0)+IF(Scenario_Select="Scenario 3",'CBA Inputs'!W$148-'CBA Inputs'!W149,0)+IF(Scenario_Select="Scenario 4",'CBA Inputs'!W$155-'CBA Inputs'!W156,0)),0)*X$31</f>
        <v>3.452176516293548E-2</v>
      </c>
      <c r="Y108" s="17">
        <f>IFERROR('Option inputs'!$F15*(IF(Scenario_Select="Scenario 1",'CBA Inputs'!X$134-'CBA Inputs'!X135,0)+IF(Scenario_Select="Scenario 2",'CBA Inputs'!X$141-'CBA Inputs'!X142,0)+IF(Scenario_Select="Scenario 3",'CBA Inputs'!X$148-'CBA Inputs'!X149,0)+IF(Scenario_Select="Scenario 4",'CBA Inputs'!X$155-'CBA Inputs'!X156,0)),0)*Y$31</f>
        <v>-51427.850263232613</v>
      </c>
      <c r="Z108" s="17">
        <f>IFERROR('Option inputs'!$F15*(IF(Scenario_Select="Scenario 1",'CBA Inputs'!Y$134-'CBA Inputs'!Y135,0)+IF(Scenario_Select="Scenario 2",'CBA Inputs'!Y$141-'CBA Inputs'!Y142,0)+IF(Scenario_Select="Scenario 3",'CBA Inputs'!Y$148-'CBA Inputs'!Y149,0)+IF(Scenario_Select="Scenario 4",'CBA Inputs'!Y$155-'CBA Inputs'!Y156,0)),0)*Z$31</f>
        <v>-359848.58937809616</v>
      </c>
      <c r="AA108" s="17">
        <f>IFERROR('Option inputs'!$F15*(IF(Scenario_Select="Scenario 1",'CBA Inputs'!Z$134-'CBA Inputs'!Z135,0)+IF(Scenario_Select="Scenario 2",'CBA Inputs'!Z$141-'CBA Inputs'!Z142,0)+IF(Scenario_Select="Scenario 3",'CBA Inputs'!Z$148-'CBA Inputs'!Z149,0)+IF(Scenario_Select="Scenario 4",'CBA Inputs'!Z$155-'CBA Inputs'!Z156,0)),0)*AA$31</f>
        <v>5681599.6312696114</v>
      </c>
      <c r="AB108" s="17">
        <f>IFERROR('Option inputs'!$F15*(IF(Scenario_Select="Scenario 1",'CBA Inputs'!AA$134-'CBA Inputs'!AA135,0)+IF(Scenario_Select="Scenario 2",'CBA Inputs'!AA$141-'CBA Inputs'!AA142,0)+IF(Scenario_Select="Scenario 3",'CBA Inputs'!AA$148-'CBA Inputs'!AA149,0)+IF(Scenario_Select="Scenario 4",'CBA Inputs'!AA$155-'CBA Inputs'!AA156,0)),0)*AB$31</f>
        <v>-3245552.8188264277</v>
      </c>
      <c r="AC108" s="17">
        <f>IFERROR('Option inputs'!$F15*(IF(Scenario_Select="Scenario 1",'CBA Inputs'!AB$134-'CBA Inputs'!AB135,0)+IF(Scenario_Select="Scenario 2",'CBA Inputs'!AB$141-'CBA Inputs'!AB142,0)+IF(Scenario_Select="Scenario 3",'CBA Inputs'!AB$148-'CBA Inputs'!AB149,0)+IF(Scenario_Select="Scenario 4",'CBA Inputs'!AB$155-'CBA Inputs'!AB156,0)),0)*AC$31</f>
        <v>3318908.8114264701</v>
      </c>
      <c r="AD108" s="17">
        <f>IFERROR('Option inputs'!$F15*(IF(Scenario_Select="Scenario 1",'CBA Inputs'!AC$134-'CBA Inputs'!AC135,0)+IF(Scenario_Select="Scenario 2",'CBA Inputs'!AC$141-'CBA Inputs'!AC142,0)+IF(Scenario_Select="Scenario 3",'CBA Inputs'!AC$148-'CBA Inputs'!AC149,0)+IF(Scenario_Select="Scenario 4",'CBA Inputs'!AC$155-'CBA Inputs'!AC156,0)),0)*AD$31</f>
        <v>360492.8318506442</v>
      </c>
      <c r="AE108" s="17">
        <f>IFERROR('Option inputs'!$F15*(IF(Scenario_Select="Scenario 1",'CBA Inputs'!AD$134-'CBA Inputs'!AD135,0)+IF(Scenario_Select="Scenario 2",'CBA Inputs'!AD$141-'CBA Inputs'!AD142,0)+IF(Scenario_Select="Scenario 3",'CBA Inputs'!AD$148-'CBA Inputs'!AD149,0)+IF(Scenario_Select="Scenario 4",'CBA Inputs'!AD$155-'CBA Inputs'!AD156,0)),0)*AE$31</f>
        <v>-90588.951480124146</v>
      </c>
      <c r="AF108" s="17">
        <f>IFERROR('Option inputs'!$F15*(IF(Scenario_Select="Scenario 1",'CBA Inputs'!AE$134-'CBA Inputs'!AE135,0)+IF(Scenario_Select="Scenario 2",'CBA Inputs'!AE$141-'CBA Inputs'!AE142,0)+IF(Scenario_Select="Scenario 3",'CBA Inputs'!AE$148-'CBA Inputs'!AE149,0)+IF(Scenario_Select="Scenario 4",'CBA Inputs'!AE$155-'CBA Inputs'!AE156,0)),0)*AF$31</f>
        <v>11.218786810025334</v>
      </c>
      <c r="AG108" s="17">
        <f>IFERROR('Option inputs'!$F15*(IF(Scenario_Select="Scenario 1",'CBA Inputs'!AF$134-'CBA Inputs'!AF135,0)+IF(Scenario_Select="Scenario 2",'CBA Inputs'!AF$141-'CBA Inputs'!AF142,0)+IF(Scenario_Select="Scenario 3",'CBA Inputs'!AF$148-'CBA Inputs'!AF149,0)+IF(Scenario_Select="Scenario 4",'CBA Inputs'!AF$155-'CBA Inputs'!AF156,0)),0)*AG$31</f>
        <v>0</v>
      </c>
      <c r="AH108" s="17">
        <f>IFERROR('Option inputs'!$F15*(IF(Scenario_Select="Scenario 1",'CBA Inputs'!AG$134-'CBA Inputs'!AG135,0)+IF(Scenario_Select="Scenario 2",'CBA Inputs'!AG$141-'CBA Inputs'!AG142,0)+IF(Scenario_Select="Scenario 3",'CBA Inputs'!AG$148-'CBA Inputs'!AG149,0)+IF(Scenario_Select="Scenario 4",'CBA Inputs'!AG$155-'CBA Inputs'!AG156,0)),0)*AH$31</f>
        <v>0</v>
      </c>
      <c r="AI108" s="17">
        <f>IFERROR('Option inputs'!$F15*(IF(Scenario_Select="Scenario 1",'CBA Inputs'!AH$134-'CBA Inputs'!AH135,0)+IF(Scenario_Select="Scenario 2",'CBA Inputs'!AH$141-'CBA Inputs'!AH142,0)+IF(Scenario_Select="Scenario 3",'CBA Inputs'!AH$148-'CBA Inputs'!AH149,0)+IF(Scenario_Select="Scenario 4",'CBA Inputs'!AH$155-'CBA Inputs'!AH156,0)),0)*AI$31</f>
        <v>0</v>
      </c>
      <c r="AJ108" s="17">
        <f>IFERROR('Option inputs'!$F15*(IF(Scenario_Select="Scenario 1",'CBA Inputs'!AI$134-'CBA Inputs'!AI135,0)+IF(Scenario_Select="Scenario 2",'CBA Inputs'!AI$141-'CBA Inputs'!AI142,0)+IF(Scenario_Select="Scenario 3",'CBA Inputs'!AI$148-'CBA Inputs'!AI149,0)+IF(Scenario_Select="Scenario 4",'CBA Inputs'!AI$155-'CBA Inputs'!AI156,0)),0)*AJ$31</f>
        <v>0</v>
      </c>
    </row>
    <row r="109" spans="2:36" x14ac:dyDescent="0.35">
      <c r="B109" s="9">
        <f>'Option inputs'!B16</f>
        <v>2</v>
      </c>
      <c r="C109" s="14" t="str">
        <f>+'Option inputs'!C16</f>
        <v>Option 1B</v>
      </c>
      <c r="D109" s="25"/>
      <c r="E109" s="12" t="s">
        <v>35</v>
      </c>
      <c r="F109" s="18">
        <f t="shared" si="48"/>
        <v>-173440.54009735951</v>
      </c>
      <c r="G109" s="17">
        <f>IFERROR('Option inputs'!$F16*(IF(Scenario_Select="Scenario 1",'CBA Inputs'!F$134-'CBA Inputs'!F136,0)+IF(Scenario_Select="Scenario 2",'CBA Inputs'!F$141-'CBA Inputs'!F143,0)+IF(Scenario_Select="Scenario 3",'CBA Inputs'!F$148-'CBA Inputs'!F150,0)+IF(Scenario_Select="Scenario 4",'CBA Inputs'!F$155-'CBA Inputs'!F157,0)),0)*G$31</f>
        <v>0</v>
      </c>
      <c r="H109" s="17">
        <f>IFERROR('Option inputs'!$F16*(IF(Scenario_Select="Scenario 1",'CBA Inputs'!G$134-'CBA Inputs'!G136,0)+IF(Scenario_Select="Scenario 2",'CBA Inputs'!G$141-'CBA Inputs'!G143,0)+IF(Scenario_Select="Scenario 3",'CBA Inputs'!G$148-'CBA Inputs'!G150,0)+IF(Scenario_Select="Scenario 4",'CBA Inputs'!G$155-'CBA Inputs'!G157,0)),0)*H$31</f>
        <v>-4.4344151265686378</v>
      </c>
      <c r="I109" s="17">
        <f>IFERROR('Option inputs'!$F16*(IF(Scenario_Select="Scenario 1",'CBA Inputs'!H$134-'CBA Inputs'!H136,0)+IF(Scenario_Select="Scenario 2",'CBA Inputs'!H$141-'CBA Inputs'!H143,0)+IF(Scenario_Select="Scenario 3",'CBA Inputs'!H$148-'CBA Inputs'!H150,0)+IF(Scenario_Select="Scenario 4",'CBA Inputs'!H$155-'CBA Inputs'!H157,0)),0)*I$31</f>
        <v>-4.6893663331866264</v>
      </c>
      <c r="J109" s="17">
        <f>IFERROR('Option inputs'!$F16*(IF(Scenario_Select="Scenario 1",'CBA Inputs'!I$134-'CBA Inputs'!I136,0)+IF(Scenario_Select="Scenario 2",'CBA Inputs'!I$141-'CBA Inputs'!I143,0)+IF(Scenario_Select="Scenario 3",'CBA Inputs'!I$148-'CBA Inputs'!I150,0)+IF(Scenario_Select="Scenario 4",'CBA Inputs'!I$155-'CBA Inputs'!I157,0)),0)*J$31</f>
        <v>46.533752720803022</v>
      </c>
      <c r="K109" s="17">
        <f>IFERROR('Option inputs'!$F16*(IF(Scenario_Select="Scenario 1",'CBA Inputs'!J$134-'CBA Inputs'!J136,0)+IF(Scenario_Select="Scenario 2",'CBA Inputs'!J$141-'CBA Inputs'!J143,0)+IF(Scenario_Select="Scenario 3",'CBA Inputs'!J$148-'CBA Inputs'!J150,0)+IF(Scenario_Select="Scenario 4",'CBA Inputs'!J$155-'CBA Inputs'!J157,0)),0)*K$31</f>
        <v>189851.10264419578</v>
      </c>
      <c r="L109" s="17">
        <f>IFERROR('Option inputs'!$F16*(IF(Scenario_Select="Scenario 1",'CBA Inputs'!K$134-'CBA Inputs'!K136,0)+IF(Scenario_Select="Scenario 2",'CBA Inputs'!K$141-'CBA Inputs'!K143,0)+IF(Scenario_Select="Scenario 3",'CBA Inputs'!K$148-'CBA Inputs'!K150,0)+IF(Scenario_Select="Scenario 4",'CBA Inputs'!K$155-'CBA Inputs'!K157,0)),0)*L$31</f>
        <v>12311.070667412132</v>
      </c>
      <c r="M109" s="17">
        <f>IFERROR('Option inputs'!$F16*(IF(Scenario_Select="Scenario 1",'CBA Inputs'!L$134-'CBA Inputs'!L136,0)+IF(Scenario_Select="Scenario 2",'CBA Inputs'!L$141-'CBA Inputs'!L143,0)+IF(Scenario_Select="Scenario 3",'CBA Inputs'!L$148-'CBA Inputs'!L150,0)+IF(Scenario_Select="Scenario 4",'CBA Inputs'!L$155-'CBA Inputs'!L157,0)),0)*M$31</f>
        <v>-5.9792663712150249</v>
      </c>
      <c r="N109" s="17">
        <f>IFERROR('Option inputs'!$F16*(IF(Scenario_Select="Scenario 1",'CBA Inputs'!M$134-'CBA Inputs'!M136,0)+IF(Scenario_Select="Scenario 2",'CBA Inputs'!M$141-'CBA Inputs'!M143,0)+IF(Scenario_Select="Scenario 3",'CBA Inputs'!M$148-'CBA Inputs'!M150,0)+IF(Scenario_Select="Scenario 4",'CBA Inputs'!M$155-'CBA Inputs'!M157,0)),0)*N$31</f>
        <v>-509.76594210819439</v>
      </c>
      <c r="O109" s="17">
        <f>IFERROR('Option inputs'!$F16*(IF(Scenario_Select="Scenario 1",'CBA Inputs'!N$134-'CBA Inputs'!N136,0)+IF(Scenario_Select="Scenario 2",'CBA Inputs'!N$141-'CBA Inputs'!N143,0)+IF(Scenario_Select="Scenario 3",'CBA Inputs'!N$148-'CBA Inputs'!N150,0)+IF(Scenario_Select="Scenario 4",'CBA Inputs'!N$155-'CBA Inputs'!N157,0)),0)*O$31</f>
        <v>-740.19646380022459</v>
      </c>
      <c r="P109" s="17">
        <f>IFERROR('Option inputs'!$F16*(IF(Scenario_Select="Scenario 1",'CBA Inputs'!O$134-'CBA Inputs'!O136,0)+IF(Scenario_Select="Scenario 2",'CBA Inputs'!O$141-'CBA Inputs'!O143,0)+IF(Scenario_Select="Scenario 3",'CBA Inputs'!O$148-'CBA Inputs'!O150,0)+IF(Scenario_Select="Scenario 4",'CBA Inputs'!O$155-'CBA Inputs'!O157,0)),0)*P$31</f>
        <v>403582.4909696111</v>
      </c>
      <c r="Q109" s="17">
        <f>IFERROR('Option inputs'!$F16*(IF(Scenario_Select="Scenario 1",'CBA Inputs'!P$134-'CBA Inputs'!P136,0)+IF(Scenario_Select="Scenario 2",'CBA Inputs'!P$141-'CBA Inputs'!P143,0)+IF(Scenario_Select="Scenario 3",'CBA Inputs'!P$148-'CBA Inputs'!P150,0)+IF(Scenario_Select="Scenario 4",'CBA Inputs'!P$155-'CBA Inputs'!P157,0)),0)*Q$31</f>
        <v>78969.776903179474</v>
      </c>
      <c r="R109" s="17">
        <f>IFERROR('Option inputs'!$F16*(IF(Scenario_Select="Scenario 1",'CBA Inputs'!Q$134-'CBA Inputs'!Q136,0)+IF(Scenario_Select="Scenario 2",'CBA Inputs'!Q$141-'CBA Inputs'!Q143,0)+IF(Scenario_Select="Scenario 3",'CBA Inputs'!Q$148-'CBA Inputs'!Q150,0)+IF(Scenario_Select="Scenario 4",'CBA Inputs'!Q$155-'CBA Inputs'!Q157,0)),0)*R$31</f>
        <v>-91453.883692801464</v>
      </c>
      <c r="S109" s="17">
        <f>IFERROR('Option inputs'!$F16*(IF(Scenario_Select="Scenario 1",'CBA Inputs'!R$134-'CBA Inputs'!R136,0)+IF(Scenario_Select="Scenario 2",'CBA Inputs'!R$141-'CBA Inputs'!R143,0)+IF(Scenario_Select="Scenario 3",'CBA Inputs'!R$148-'CBA Inputs'!R150,0)+IF(Scenario_Select="Scenario 4",'CBA Inputs'!R$155-'CBA Inputs'!R157,0)),0)*S$31</f>
        <v>13043.494776215637</v>
      </c>
      <c r="T109" s="17">
        <f>IFERROR('Option inputs'!$F16*(IF(Scenario_Select="Scenario 1",'CBA Inputs'!S$134-'CBA Inputs'!S136,0)+IF(Scenario_Select="Scenario 2",'CBA Inputs'!S$141-'CBA Inputs'!S143,0)+IF(Scenario_Select="Scenario 3",'CBA Inputs'!S$148-'CBA Inputs'!S150,0)+IF(Scenario_Select="Scenario 4",'CBA Inputs'!S$155-'CBA Inputs'!S157,0)),0)*T$31</f>
        <v>180865.20840812754</v>
      </c>
      <c r="U109" s="17">
        <f>IFERROR('Option inputs'!$F16*(IF(Scenario_Select="Scenario 1",'CBA Inputs'!T$134-'CBA Inputs'!T136,0)+IF(Scenario_Select="Scenario 2",'CBA Inputs'!T$141-'CBA Inputs'!T143,0)+IF(Scenario_Select="Scenario 3",'CBA Inputs'!T$148-'CBA Inputs'!T150,0)+IF(Scenario_Select="Scenario 4",'CBA Inputs'!T$155-'CBA Inputs'!T157,0)),0)*U$31</f>
        <v>-407990.22128391918</v>
      </c>
      <c r="V109" s="17">
        <f>IFERROR('Option inputs'!$F16*(IF(Scenario_Select="Scenario 1",'CBA Inputs'!U$134-'CBA Inputs'!U136,0)+IF(Scenario_Select="Scenario 2",'CBA Inputs'!U$141-'CBA Inputs'!U143,0)+IF(Scenario_Select="Scenario 3",'CBA Inputs'!U$148-'CBA Inputs'!U150,0)+IF(Scenario_Select="Scenario 4",'CBA Inputs'!U$155-'CBA Inputs'!U157,0)),0)*V$31</f>
        <v>-416416.28195928689</v>
      </c>
      <c r="W109" s="17">
        <f>IFERROR('Option inputs'!$F16*(IF(Scenario_Select="Scenario 1",'CBA Inputs'!V$134-'CBA Inputs'!V136,0)+IF(Scenario_Select="Scenario 2",'CBA Inputs'!V$141-'CBA Inputs'!V143,0)+IF(Scenario_Select="Scenario 3",'CBA Inputs'!V$148-'CBA Inputs'!V150,0)+IF(Scenario_Select="Scenario 4",'CBA Inputs'!V$155-'CBA Inputs'!V157,0)),0)*W$31</f>
        <v>585827.53254044242</v>
      </c>
      <c r="X109" s="17">
        <f>IFERROR('Option inputs'!$F16*(IF(Scenario_Select="Scenario 1",'CBA Inputs'!W$134-'CBA Inputs'!W136,0)+IF(Scenario_Select="Scenario 2",'CBA Inputs'!W$141-'CBA Inputs'!W143,0)+IF(Scenario_Select="Scenario 3",'CBA Inputs'!W$148-'CBA Inputs'!W150,0)+IF(Scenario_Select="Scenario 4",'CBA Inputs'!W$155-'CBA Inputs'!W157,0)),0)*X$31</f>
        <v>-12979.686090621733</v>
      </c>
      <c r="Y109" s="17">
        <f>IFERROR('Option inputs'!$F16*(IF(Scenario_Select="Scenario 1",'CBA Inputs'!X$134-'CBA Inputs'!X136,0)+IF(Scenario_Select="Scenario 2",'CBA Inputs'!X$141-'CBA Inputs'!X143,0)+IF(Scenario_Select="Scenario 3",'CBA Inputs'!X$148-'CBA Inputs'!X150,0)+IF(Scenario_Select="Scenario 4",'CBA Inputs'!X$155-'CBA Inputs'!X157,0)),0)*Y$31</f>
        <v>-40501.509801456574</v>
      </c>
      <c r="Z109" s="17">
        <f>IFERROR('Option inputs'!$F16*(IF(Scenario_Select="Scenario 1",'CBA Inputs'!Y$134-'CBA Inputs'!Y136,0)+IF(Scenario_Select="Scenario 2",'CBA Inputs'!Y$141-'CBA Inputs'!Y143,0)+IF(Scenario_Select="Scenario 3",'CBA Inputs'!Y$148-'CBA Inputs'!Y150,0)+IF(Scenario_Select="Scenario 4",'CBA Inputs'!Y$155-'CBA Inputs'!Y157,0)),0)*Z$31</f>
        <v>-616188.19209840056</v>
      </c>
      <c r="AA109" s="17">
        <f>IFERROR('Option inputs'!$F16*(IF(Scenario_Select="Scenario 1",'CBA Inputs'!Z$134-'CBA Inputs'!Z136,0)+IF(Scenario_Select="Scenario 2",'CBA Inputs'!Z$141-'CBA Inputs'!Z143,0)+IF(Scenario_Select="Scenario 3",'CBA Inputs'!Z$148-'CBA Inputs'!Z150,0)+IF(Scenario_Select="Scenario 4",'CBA Inputs'!Z$155-'CBA Inputs'!Z157,0)),0)*AA$31</f>
        <v>168715.39546979591</v>
      </c>
      <c r="AB109" s="17">
        <f>IFERROR('Option inputs'!$F16*(IF(Scenario_Select="Scenario 1",'CBA Inputs'!AA$134-'CBA Inputs'!AA136,0)+IF(Scenario_Select="Scenario 2",'CBA Inputs'!AA$141-'CBA Inputs'!AA143,0)+IF(Scenario_Select="Scenario 3",'CBA Inputs'!AA$148-'CBA Inputs'!AA150,0)+IF(Scenario_Select="Scenario 4",'CBA Inputs'!AA$155-'CBA Inputs'!AA157,0)),0)*AB$31</f>
        <v>-338762.94280450232</v>
      </c>
      <c r="AC109" s="17">
        <f>IFERROR('Option inputs'!$F16*(IF(Scenario_Select="Scenario 1",'CBA Inputs'!AB$134-'CBA Inputs'!AB136,0)+IF(Scenario_Select="Scenario 2",'CBA Inputs'!AB$141-'CBA Inputs'!AB143,0)+IF(Scenario_Select="Scenario 3",'CBA Inputs'!AB$148-'CBA Inputs'!AB150,0)+IF(Scenario_Select="Scenario 4",'CBA Inputs'!AB$155-'CBA Inputs'!AB157,0)),0)*AC$31</f>
        <v>-340822.97530405596</v>
      </c>
      <c r="AD109" s="17">
        <f>IFERROR('Option inputs'!$F16*(IF(Scenario_Select="Scenario 1",'CBA Inputs'!AC$134-'CBA Inputs'!AC136,0)+IF(Scenario_Select="Scenario 2",'CBA Inputs'!AC$141-'CBA Inputs'!AC143,0)+IF(Scenario_Select="Scenario 3",'CBA Inputs'!AC$148-'CBA Inputs'!AC150,0)+IF(Scenario_Select="Scenario 4",'CBA Inputs'!AC$155-'CBA Inputs'!AC157,0)),0)*AD$31</f>
        <v>-309501.09715040773</v>
      </c>
      <c r="AE109" s="17">
        <f>IFERROR('Option inputs'!$F16*(IF(Scenario_Select="Scenario 1",'CBA Inputs'!AD$134-'CBA Inputs'!AD136,0)+IF(Scenario_Select="Scenario 2",'CBA Inputs'!AD$141-'CBA Inputs'!AD143,0)+IF(Scenario_Select="Scenario 3",'CBA Inputs'!AD$148-'CBA Inputs'!AD150,0)+IF(Scenario_Select="Scenario 4",'CBA Inputs'!AD$155-'CBA Inputs'!AD157,0)),0)*AE$31</f>
        <v>-290082.13010815904</v>
      </c>
      <c r="AF109" s="17">
        <f>IFERROR('Option inputs'!$F16*(IF(Scenario_Select="Scenario 1",'CBA Inputs'!AE$134-'CBA Inputs'!AE136,0)+IF(Scenario_Select="Scenario 2",'CBA Inputs'!AE$141-'CBA Inputs'!AE143,0)+IF(Scenario_Select="Scenario 3",'CBA Inputs'!AE$148-'CBA Inputs'!AE150,0)+IF(Scenario_Select="Scenario 4",'CBA Inputs'!AE$155-'CBA Inputs'!AE157,0)),0)*AF$31</f>
        <v>-19.4754081524359</v>
      </c>
      <c r="AG109" s="17">
        <f>IFERROR('Option inputs'!$F16*(IF(Scenario_Select="Scenario 1",'CBA Inputs'!AF$134-'CBA Inputs'!AF136,0)+IF(Scenario_Select="Scenario 2",'CBA Inputs'!AF$141-'CBA Inputs'!AF143,0)+IF(Scenario_Select="Scenario 3",'CBA Inputs'!AF$148-'CBA Inputs'!AF150,0)+IF(Scenario_Select="Scenario 4",'CBA Inputs'!AF$155-'CBA Inputs'!AF157,0)),0)*AG$31</f>
        <v>0</v>
      </c>
      <c r="AH109" s="17">
        <f>IFERROR('Option inputs'!$F16*(IF(Scenario_Select="Scenario 1",'CBA Inputs'!AG$134-'CBA Inputs'!AG136,0)+IF(Scenario_Select="Scenario 2",'CBA Inputs'!AG$141-'CBA Inputs'!AG143,0)+IF(Scenario_Select="Scenario 3",'CBA Inputs'!AG$148-'CBA Inputs'!AG150,0)+IF(Scenario_Select="Scenario 4",'CBA Inputs'!AG$155-'CBA Inputs'!AG157,0)),0)*AH$31</f>
        <v>0</v>
      </c>
      <c r="AI109" s="17">
        <f>IFERROR('Option inputs'!$F16*(IF(Scenario_Select="Scenario 1",'CBA Inputs'!AH$134-'CBA Inputs'!AH136,0)+IF(Scenario_Select="Scenario 2",'CBA Inputs'!AH$141-'CBA Inputs'!AH143,0)+IF(Scenario_Select="Scenario 3",'CBA Inputs'!AH$148-'CBA Inputs'!AH150,0)+IF(Scenario_Select="Scenario 4",'CBA Inputs'!AH$155-'CBA Inputs'!AH157,0)),0)*AI$31</f>
        <v>0</v>
      </c>
      <c r="AJ109" s="17">
        <f>IFERROR('Option inputs'!$F16*(IF(Scenario_Select="Scenario 1",'CBA Inputs'!AI$134-'CBA Inputs'!AI136,0)+IF(Scenario_Select="Scenario 2",'CBA Inputs'!AI$141-'CBA Inputs'!AI143,0)+IF(Scenario_Select="Scenario 3",'CBA Inputs'!AI$148-'CBA Inputs'!AI150,0)+IF(Scenario_Select="Scenario 4",'CBA Inputs'!AI$155-'CBA Inputs'!AI157,0)),0)*AJ$31</f>
        <v>0</v>
      </c>
    </row>
    <row r="110" spans="2:36" x14ac:dyDescent="0.35">
      <c r="B110" s="9">
        <f>'Option inputs'!B17</f>
        <v>3</v>
      </c>
      <c r="C110" s="14" t="str">
        <f>+'Option inputs'!C17</f>
        <v>Option 1C</v>
      </c>
      <c r="D110" s="25"/>
      <c r="E110" s="12" t="s">
        <v>35</v>
      </c>
      <c r="F110" s="18">
        <f t="shared" si="48"/>
        <v>2565677.6858167774</v>
      </c>
      <c r="G110" s="17">
        <f>IFERROR('Option inputs'!$F17*(IF(Scenario_Select="Scenario 1",'CBA Inputs'!F$134-'CBA Inputs'!F137,0)+IF(Scenario_Select="Scenario 2",'CBA Inputs'!F$141-'CBA Inputs'!F144,0)+IF(Scenario_Select="Scenario 3",'CBA Inputs'!F$148-'CBA Inputs'!F151,0)+IF(Scenario_Select="Scenario 4",'CBA Inputs'!F$155-'CBA Inputs'!F158,0)),0)*G$31</f>
        <v>0</v>
      </c>
      <c r="H110" s="17">
        <f>IFERROR('Option inputs'!$F17*(IF(Scenario_Select="Scenario 1",'CBA Inputs'!G$134-'CBA Inputs'!G137,0)+IF(Scenario_Select="Scenario 2",'CBA Inputs'!G$141-'CBA Inputs'!G144,0)+IF(Scenario_Select="Scenario 3",'CBA Inputs'!G$148-'CBA Inputs'!G151,0)+IF(Scenario_Select="Scenario 4",'CBA Inputs'!G$155-'CBA Inputs'!G158,0)),0)*H$31</f>
        <v>2.2274851009715348</v>
      </c>
      <c r="I110" s="17">
        <f>IFERROR('Option inputs'!$F17*(IF(Scenario_Select="Scenario 1",'CBA Inputs'!H$134-'CBA Inputs'!H137,0)+IF(Scenario_Select="Scenario 2",'CBA Inputs'!H$141-'CBA Inputs'!H144,0)+IF(Scenario_Select="Scenario 3",'CBA Inputs'!H$148-'CBA Inputs'!H151,0)+IF(Scenario_Select="Scenario 4",'CBA Inputs'!H$155-'CBA Inputs'!H158,0)),0)*I$31</f>
        <v>2.3829791901516728</v>
      </c>
      <c r="J110" s="17">
        <f>IFERROR('Option inputs'!$F17*(IF(Scenario_Select="Scenario 1",'CBA Inputs'!I$134-'CBA Inputs'!I137,0)+IF(Scenario_Select="Scenario 2",'CBA Inputs'!I$141-'CBA Inputs'!I144,0)+IF(Scenario_Select="Scenario 3",'CBA Inputs'!I$148-'CBA Inputs'!I151,0)+IF(Scenario_Select="Scenario 4",'CBA Inputs'!I$155-'CBA Inputs'!I158,0)),0)*J$31</f>
        <v>377014.46636462398</v>
      </c>
      <c r="K110" s="17">
        <f>IFERROR('Option inputs'!$F17*(IF(Scenario_Select="Scenario 1",'CBA Inputs'!J$134-'CBA Inputs'!J137,0)+IF(Scenario_Select="Scenario 2",'CBA Inputs'!J$141-'CBA Inputs'!J144,0)+IF(Scenario_Select="Scenario 3",'CBA Inputs'!J$148-'CBA Inputs'!J151,0)+IF(Scenario_Select="Scenario 4",'CBA Inputs'!J$155-'CBA Inputs'!J158,0)),0)*K$31</f>
        <v>45215.685169481672</v>
      </c>
      <c r="L110" s="17">
        <f>IFERROR('Option inputs'!$F17*(IF(Scenario_Select="Scenario 1",'CBA Inputs'!K$134-'CBA Inputs'!K137,0)+IF(Scenario_Select="Scenario 2",'CBA Inputs'!K$141-'CBA Inputs'!K144,0)+IF(Scenario_Select="Scenario 3",'CBA Inputs'!K$148-'CBA Inputs'!K151,0)+IF(Scenario_Select="Scenario 4",'CBA Inputs'!K$155-'CBA Inputs'!K158,0)),0)*L$31</f>
        <v>294134.15929621272</v>
      </c>
      <c r="M110" s="17">
        <f>IFERROR('Option inputs'!$F17*(IF(Scenario_Select="Scenario 1",'CBA Inputs'!L$134-'CBA Inputs'!L137,0)+IF(Scenario_Select="Scenario 2",'CBA Inputs'!L$141-'CBA Inputs'!L144,0)+IF(Scenario_Select="Scenario 3",'CBA Inputs'!L$148-'CBA Inputs'!L151,0)+IF(Scenario_Select="Scenario 4",'CBA Inputs'!L$155-'CBA Inputs'!L158,0)),0)*M$31</f>
        <v>3.0382105568215509</v>
      </c>
      <c r="N110" s="17">
        <f>IFERROR('Option inputs'!$F17*(IF(Scenario_Select="Scenario 1",'CBA Inputs'!M$134-'CBA Inputs'!M137,0)+IF(Scenario_Select="Scenario 2",'CBA Inputs'!M$141-'CBA Inputs'!M144,0)+IF(Scenario_Select="Scenario 3",'CBA Inputs'!M$148-'CBA Inputs'!M151,0)+IF(Scenario_Select="Scenario 4",'CBA Inputs'!M$155-'CBA Inputs'!M158,0)),0)*N$31</f>
        <v>2932.9888236411925</v>
      </c>
      <c r="O110" s="17">
        <f>IFERROR('Option inputs'!$F17*(IF(Scenario_Select="Scenario 1",'CBA Inputs'!N$134-'CBA Inputs'!N137,0)+IF(Scenario_Select="Scenario 2",'CBA Inputs'!N$141-'CBA Inputs'!N144,0)+IF(Scenario_Select="Scenario 3",'CBA Inputs'!N$148-'CBA Inputs'!N151,0)+IF(Scenario_Select="Scenario 4",'CBA Inputs'!N$155-'CBA Inputs'!N158,0)),0)*O$31</f>
        <v>12991.17268157943</v>
      </c>
      <c r="P110" s="17">
        <f>IFERROR('Option inputs'!$F17*(IF(Scenario_Select="Scenario 1",'CBA Inputs'!O$134-'CBA Inputs'!O137,0)+IF(Scenario_Select="Scenario 2",'CBA Inputs'!O$141-'CBA Inputs'!O144,0)+IF(Scenario_Select="Scenario 3",'CBA Inputs'!O$148-'CBA Inputs'!O151,0)+IF(Scenario_Select="Scenario 4",'CBA Inputs'!O$155-'CBA Inputs'!O158,0)),0)*P$31</f>
        <v>87172.141383035341</v>
      </c>
      <c r="Q110" s="17">
        <f>IFERROR('Option inputs'!$F17*(IF(Scenario_Select="Scenario 1",'CBA Inputs'!P$134-'CBA Inputs'!P137,0)+IF(Scenario_Select="Scenario 2",'CBA Inputs'!P$141-'CBA Inputs'!P144,0)+IF(Scenario_Select="Scenario 3",'CBA Inputs'!P$148-'CBA Inputs'!P151,0)+IF(Scenario_Select="Scenario 4",'CBA Inputs'!P$155-'CBA Inputs'!P158,0)),0)*Q$31</f>
        <v>-54182.672727711964</v>
      </c>
      <c r="R110" s="17">
        <f>IFERROR('Option inputs'!$F17*(IF(Scenario_Select="Scenario 1",'CBA Inputs'!Q$134-'CBA Inputs'!Q137,0)+IF(Scenario_Select="Scenario 2",'CBA Inputs'!Q$141-'CBA Inputs'!Q144,0)+IF(Scenario_Select="Scenario 3",'CBA Inputs'!Q$148-'CBA Inputs'!Q151,0)+IF(Scenario_Select="Scenario 4",'CBA Inputs'!Q$155-'CBA Inputs'!Q158,0)),0)*R$31</f>
        <v>564783.61104373261</v>
      </c>
      <c r="S110" s="17">
        <f>IFERROR('Option inputs'!$F17*(IF(Scenario_Select="Scenario 1",'CBA Inputs'!R$134-'CBA Inputs'!R137,0)+IF(Scenario_Select="Scenario 2",'CBA Inputs'!R$141-'CBA Inputs'!R144,0)+IF(Scenario_Select="Scenario 3",'CBA Inputs'!R$148-'CBA Inputs'!R151,0)+IF(Scenario_Select="Scenario 4",'CBA Inputs'!R$155-'CBA Inputs'!R158,0)),0)*S$31</f>
        <v>-17108.559976312332</v>
      </c>
      <c r="T110" s="17">
        <f>IFERROR('Option inputs'!$F17*(IF(Scenario_Select="Scenario 1",'CBA Inputs'!S$134-'CBA Inputs'!S137,0)+IF(Scenario_Select="Scenario 2",'CBA Inputs'!S$141-'CBA Inputs'!S144,0)+IF(Scenario_Select="Scenario 3",'CBA Inputs'!S$148-'CBA Inputs'!S151,0)+IF(Scenario_Select="Scenario 4",'CBA Inputs'!S$155-'CBA Inputs'!S158,0)),0)*T$31</f>
        <v>-12267.357285993174</v>
      </c>
      <c r="U110" s="17">
        <f>IFERROR('Option inputs'!$F17*(IF(Scenario_Select="Scenario 1",'CBA Inputs'!T$134-'CBA Inputs'!T137,0)+IF(Scenario_Select="Scenario 2",'CBA Inputs'!T$141-'CBA Inputs'!T144,0)+IF(Scenario_Select="Scenario 3",'CBA Inputs'!T$148-'CBA Inputs'!T151,0)+IF(Scenario_Select="Scenario 4",'CBA Inputs'!T$155-'CBA Inputs'!T158,0)),0)*U$31</f>
        <v>1430888.4849008354</v>
      </c>
      <c r="V110" s="17">
        <f>IFERROR('Option inputs'!$F17*(IF(Scenario_Select="Scenario 1",'CBA Inputs'!U$134-'CBA Inputs'!U137,0)+IF(Scenario_Select="Scenario 2",'CBA Inputs'!U$141-'CBA Inputs'!U144,0)+IF(Scenario_Select="Scenario 3",'CBA Inputs'!U$148-'CBA Inputs'!U151,0)+IF(Scenario_Select="Scenario 4",'CBA Inputs'!U$155-'CBA Inputs'!U158,0)),0)*V$31</f>
        <v>606779.18788554613</v>
      </c>
      <c r="W110" s="17">
        <f>IFERROR('Option inputs'!$F17*(IF(Scenario_Select="Scenario 1",'CBA Inputs'!V$134-'CBA Inputs'!V137,0)+IF(Scenario_Select="Scenario 2",'CBA Inputs'!V$141-'CBA Inputs'!V144,0)+IF(Scenario_Select="Scenario 3",'CBA Inputs'!V$148-'CBA Inputs'!V151,0)+IF(Scenario_Select="Scenario 4",'CBA Inputs'!V$155-'CBA Inputs'!V158,0)),0)*W$31</f>
        <v>2116533.1799407303</v>
      </c>
      <c r="X110" s="17">
        <f>IFERROR('Option inputs'!$F17*(IF(Scenario_Select="Scenario 1",'CBA Inputs'!W$134-'CBA Inputs'!W137,0)+IF(Scenario_Select="Scenario 2",'CBA Inputs'!W$141-'CBA Inputs'!W144,0)+IF(Scenario_Select="Scenario 3",'CBA Inputs'!W$148-'CBA Inputs'!W151,0)+IF(Scenario_Select="Scenario 4",'CBA Inputs'!W$155-'CBA Inputs'!W158,0)),0)*X$31</f>
        <v>19622.104179753274</v>
      </c>
      <c r="Y110" s="17">
        <f>IFERROR('Option inputs'!$F17*(IF(Scenario_Select="Scenario 1",'CBA Inputs'!X$134-'CBA Inputs'!X137,0)+IF(Scenario_Select="Scenario 2",'CBA Inputs'!X$141-'CBA Inputs'!X144,0)+IF(Scenario_Select="Scenario 3",'CBA Inputs'!X$148-'CBA Inputs'!X151,0)+IF(Scenario_Select="Scenario 4",'CBA Inputs'!X$155-'CBA Inputs'!X158,0)),0)*Y$31</f>
        <v>17954.926211733793</v>
      </c>
      <c r="Z110" s="17">
        <f>IFERROR('Option inputs'!$F17*(IF(Scenario_Select="Scenario 1",'CBA Inputs'!Y$134-'CBA Inputs'!Y137,0)+IF(Scenario_Select="Scenario 2",'CBA Inputs'!Y$141-'CBA Inputs'!Y144,0)+IF(Scenario_Select="Scenario 3",'CBA Inputs'!Y$148-'CBA Inputs'!Y151,0)+IF(Scenario_Select="Scenario 4",'CBA Inputs'!Y$155-'CBA Inputs'!Y158,0)),0)*Z$31</f>
        <v>401019.07121024933</v>
      </c>
      <c r="AA110" s="17">
        <f>IFERROR('Option inputs'!$F17*(IF(Scenario_Select="Scenario 1",'CBA Inputs'!Z$134-'CBA Inputs'!Z137,0)+IF(Scenario_Select="Scenario 2",'CBA Inputs'!Z$141-'CBA Inputs'!Z144,0)+IF(Scenario_Select="Scenario 3",'CBA Inputs'!Z$148-'CBA Inputs'!Z151,0)+IF(Scenario_Select="Scenario 4",'CBA Inputs'!Z$155-'CBA Inputs'!Z158,0)),0)*AA$31</f>
        <v>3312939.7908738069</v>
      </c>
      <c r="AB110" s="17">
        <f>IFERROR('Option inputs'!$F17*(IF(Scenario_Select="Scenario 1",'CBA Inputs'!AA$134-'CBA Inputs'!AA137,0)+IF(Scenario_Select="Scenario 2",'CBA Inputs'!AA$141-'CBA Inputs'!AA144,0)+IF(Scenario_Select="Scenario 3",'CBA Inputs'!AA$148-'CBA Inputs'!AA151,0)+IF(Scenario_Select="Scenario 4",'CBA Inputs'!AA$155-'CBA Inputs'!AA158,0)),0)*AB$31</f>
        <v>-4025068.4913970288</v>
      </c>
      <c r="AC110" s="17">
        <f>IFERROR('Option inputs'!$F17*(IF(Scenario_Select="Scenario 1",'CBA Inputs'!AB$134-'CBA Inputs'!AB137,0)+IF(Scenario_Select="Scenario 2",'CBA Inputs'!AB$141-'CBA Inputs'!AB144,0)+IF(Scenario_Select="Scenario 3",'CBA Inputs'!AB$148-'CBA Inputs'!AB151,0)+IF(Scenario_Select="Scenario 4",'CBA Inputs'!AB$155-'CBA Inputs'!AB158,0)),0)*AC$31</f>
        <v>2107926.8885211181</v>
      </c>
      <c r="AD110" s="17">
        <f>IFERROR('Option inputs'!$F17*(IF(Scenario_Select="Scenario 1",'CBA Inputs'!AC$134-'CBA Inputs'!AC137,0)+IF(Scenario_Select="Scenario 2",'CBA Inputs'!AC$141-'CBA Inputs'!AC144,0)+IF(Scenario_Select="Scenario 3",'CBA Inputs'!AC$148-'CBA Inputs'!AC151,0)+IF(Scenario_Select="Scenario 4",'CBA Inputs'!AC$155-'CBA Inputs'!AC158,0)),0)*AD$31</f>
        <v>739140.84748536721</v>
      </c>
      <c r="AE110" s="17">
        <f>IFERROR('Option inputs'!$F17*(IF(Scenario_Select="Scenario 1",'CBA Inputs'!AD$134-'CBA Inputs'!AD137,0)+IF(Scenario_Select="Scenario 2",'CBA Inputs'!AD$141-'CBA Inputs'!AD144,0)+IF(Scenario_Select="Scenario 3",'CBA Inputs'!AD$148-'CBA Inputs'!AD151,0)+IF(Scenario_Select="Scenario 4",'CBA Inputs'!AD$155-'CBA Inputs'!AD158,0)),0)*AE$31</f>
        <v>-3966273.3855760247</v>
      </c>
      <c r="AF110" s="17">
        <f>IFERROR('Option inputs'!$F17*(IF(Scenario_Select="Scenario 1",'CBA Inputs'!AE$134-'CBA Inputs'!AE137,0)+IF(Scenario_Select="Scenario 2",'CBA Inputs'!AE$141-'CBA Inputs'!AE144,0)+IF(Scenario_Select="Scenario 3",'CBA Inputs'!AE$148-'CBA Inputs'!AE151,0)+IF(Scenario_Select="Scenario 4",'CBA Inputs'!AE$155-'CBA Inputs'!AE158,0)),0)*AF$31</f>
        <v>9.9105853937318464</v>
      </c>
      <c r="AG110" s="17">
        <f>IFERROR('Option inputs'!$F17*(IF(Scenario_Select="Scenario 1",'CBA Inputs'!AF$134-'CBA Inputs'!AF137,0)+IF(Scenario_Select="Scenario 2",'CBA Inputs'!AF$141-'CBA Inputs'!AF144,0)+IF(Scenario_Select="Scenario 3",'CBA Inputs'!AF$148-'CBA Inputs'!AF151,0)+IF(Scenario_Select="Scenario 4",'CBA Inputs'!AF$155-'CBA Inputs'!AF158,0)),0)*AG$31</f>
        <v>0</v>
      </c>
      <c r="AH110" s="17">
        <f>IFERROR('Option inputs'!$F17*(IF(Scenario_Select="Scenario 1",'CBA Inputs'!AG$134-'CBA Inputs'!AG137,0)+IF(Scenario_Select="Scenario 2",'CBA Inputs'!AG$141-'CBA Inputs'!AG144,0)+IF(Scenario_Select="Scenario 3",'CBA Inputs'!AG$148-'CBA Inputs'!AG151,0)+IF(Scenario_Select="Scenario 4",'CBA Inputs'!AG$155-'CBA Inputs'!AG158,0)),0)*AH$31</f>
        <v>0</v>
      </c>
      <c r="AI110" s="17">
        <f>IFERROR('Option inputs'!$F17*(IF(Scenario_Select="Scenario 1",'CBA Inputs'!AH$134-'CBA Inputs'!AH137,0)+IF(Scenario_Select="Scenario 2",'CBA Inputs'!AH$141-'CBA Inputs'!AH144,0)+IF(Scenario_Select="Scenario 3",'CBA Inputs'!AH$148-'CBA Inputs'!AH151,0)+IF(Scenario_Select="Scenario 4",'CBA Inputs'!AH$155-'CBA Inputs'!AH158,0)),0)*AI$31</f>
        <v>0</v>
      </c>
      <c r="AJ110" s="17">
        <f>IFERROR('Option inputs'!$F17*(IF(Scenario_Select="Scenario 1",'CBA Inputs'!AI$134-'CBA Inputs'!AI137,0)+IF(Scenario_Select="Scenario 2",'CBA Inputs'!AI$141-'CBA Inputs'!AI144,0)+IF(Scenario_Select="Scenario 3",'CBA Inputs'!AI$148-'CBA Inputs'!AI151,0)+IF(Scenario_Select="Scenario 4",'CBA Inputs'!AI$155-'CBA Inputs'!AI158,0)),0)*AJ$31</f>
        <v>0</v>
      </c>
    </row>
    <row r="111" spans="2:36" x14ac:dyDescent="0.35">
      <c r="B111" s="9">
        <f>'Option inputs'!B18</f>
        <v>4</v>
      </c>
      <c r="C111" s="14" t="str">
        <f>+'Option inputs'!C18</f>
        <v>Option 1D</v>
      </c>
      <c r="D111" s="25"/>
      <c r="E111" s="12" t="s">
        <v>35</v>
      </c>
      <c r="F111" s="18">
        <f t="shared" si="48"/>
        <v>1090968.4305802207</v>
      </c>
      <c r="G111" s="17">
        <f>IFERROR('Option inputs'!$F18*(IF(Scenario_Select="Scenario 1",'CBA Inputs'!F$134-'CBA Inputs'!F138,0)+IF(Scenario_Select="Scenario 2",'CBA Inputs'!F$141-'CBA Inputs'!F145,0)+IF(Scenario_Select="Scenario 3",'CBA Inputs'!F$148-'CBA Inputs'!F152,0)+IF(Scenario_Select="Scenario 4",'CBA Inputs'!F$155-'CBA Inputs'!F159,0)),0)*G$31</f>
        <v>0</v>
      </c>
      <c r="H111" s="17">
        <f>IFERROR('Option inputs'!$F18*(IF(Scenario_Select="Scenario 1",'CBA Inputs'!G$134-'CBA Inputs'!G138,0)+IF(Scenario_Select="Scenario 2",'CBA Inputs'!G$141-'CBA Inputs'!G145,0)+IF(Scenario_Select="Scenario 3",'CBA Inputs'!G$148-'CBA Inputs'!G152,0)+IF(Scenario_Select="Scenario 4",'CBA Inputs'!G$155-'CBA Inputs'!G159,0)),0)*H$31</f>
        <v>2.7234127164119855</v>
      </c>
      <c r="I111" s="17">
        <f>IFERROR('Option inputs'!$F18*(IF(Scenario_Select="Scenario 1",'CBA Inputs'!H$134-'CBA Inputs'!H138,0)+IF(Scenario_Select="Scenario 2",'CBA Inputs'!H$141-'CBA Inputs'!H145,0)+IF(Scenario_Select="Scenario 3",'CBA Inputs'!H$148-'CBA Inputs'!H152,0)+IF(Scenario_Select="Scenario 4",'CBA Inputs'!H$155-'CBA Inputs'!H159,0)),0)*I$31</f>
        <v>2.798024267074652</v>
      </c>
      <c r="J111" s="17">
        <f>IFERROR('Option inputs'!$F18*(IF(Scenario_Select="Scenario 1",'CBA Inputs'!I$134-'CBA Inputs'!I138,0)+IF(Scenario_Select="Scenario 2",'CBA Inputs'!I$141-'CBA Inputs'!I145,0)+IF(Scenario_Select="Scenario 3",'CBA Inputs'!I$148-'CBA Inputs'!I152,0)+IF(Scenario_Select="Scenario 4",'CBA Inputs'!I$155-'CBA Inputs'!I159,0)),0)*J$31</f>
        <v>403584.73359263316</v>
      </c>
      <c r="K111" s="17">
        <f>IFERROR('Option inputs'!$F18*(IF(Scenario_Select="Scenario 1",'CBA Inputs'!J$134-'CBA Inputs'!J138,0)+IF(Scenario_Select="Scenario 2",'CBA Inputs'!J$141-'CBA Inputs'!J145,0)+IF(Scenario_Select="Scenario 3",'CBA Inputs'!J$148-'CBA Inputs'!J152,0)+IF(Scenario_Select="Scenario 4",'CBA Inputs'!J$155-'CBA Inputs'!J159,0)),0)*K$31</f>
        <v>23325.012525082566</v>
      </c>
      <c r="L111" s="17">
        <f>IFERROR('Option inputs'!$F18*(IF(Scenario_Select="Scenario 1",'CBA Inputs'!K$134-'CBA Inputs'!K138,0)+IF(Scenario_Select="Scenario 2",'CBA Inputs'!K$141-'CBA Inputs'!K145,0)+IF(Scenario_Select="Scenario 3",'CBA Inputs'!K$148-'CBA Inputs'!K152,0)+IF(Scenario_Select="Scenario 4",'CBA Inputs'!K$155-'CBA Inputs'!K159,0)),0)*L$31</f>
        <v>172389.31028805673</v>
      </c>
      <c r="M111" s="17">
        <f>IFERROR('Option inputs'!$F18*(IF(Scenario_Select="Scenario 1",'CBA Inputs'!L$134-'CBA Inputs'!L138,0)+IF(Scenario_Select="Scenario 2",'CBA Inputs'!L$141-'CBA Inputs'!L145,0)+IF(Scenario_Select="Scenario 3",'CBA Inputs'!L$148-'CBA Inputs'!L152,0)+IF(Scenario_Select="Scenario 4",'CBA Inputs'!L$155-'CBA Inputs'!L159,0)),0)*M$31</f>
        <v>3.5870838103492404</v>
      </c>
      <c r="N111" s="17">
        <f>IFERROR('Option inputs'!$F18*(IF(Scenario_Select="Scenario 1",'CBA Inputs'!M$134-'CBA Inputs'!M138,0)+IF(Scenario_Select="Scenario 2",'CBA Inputs'!M$141-'CBA Inputs'!M145,0)+IF(Scenario_Select="Scenario 3",'CBA Inputs'!M$148-'CBA Inputs'!M152,0)+IF(Scenario_Select="Scenario 4",'CBA Inputs'!M$155-'CBA Inputs'!M159,0)),0)*N$31</f>
        <v>2933.5672096930084</v>
      </c>
      <c r="O111" s="17">
        <f>IFERROR('Option inputs'!$F18*(IF(Scenario_Select="Scenario 1",'CBA Inputs'!N$134-'CBA Inputs'!N138,0)+IF(Scenario_Select="Scenario 2",'CBA Inputs'!N$141-'CBA Inputs'!N145,0)+IF(Scenario_Select="Scenario 3",'CBA Inputs'!N$148-'CBA Inputs'!N152,0)+IF(Scenario_Select="Scenario 4",'CBA Inputs'!N$155-'CBA Inputs'!N159,0)),0)*O$31</f>
        <v>8603.1740143959669</v>
      </c>
      <c r="P111" s="17">
        <f>IFERROR('Option inputs'!$F18*(IF(Scenario_Select="Scenario 1",'CBA Inputs'!O$134-'CBA Inputs'!O138,0)+IF(Scenario_Select="Scenario 2",'CBA Inputs'!O$141-'CBA Inputs'!O145,0)+IF(Scenario_Select="Scenario 3",'CBA Inputs'!O$148-'CBA Inputs'!O152,0)+IF(Scenario_Select="Scenario 4",'CBA Inputs'!O$155-'CBA Inputs'!O159,0)),0)*P$31</f>
        <v>84873.618513008347</v>
      </c>
      <c r="Q111" s="17">
        <f>IFERROR('Option inputs'!$F18*(IF(Scenario_Select="Scenario 1",'CBA Inputs'!P$134-'CBA Inputs'!P138,0)+IF(Scenario_Select="Scenario 2",'CBA Inputs'!P$141-'CBA Inputs'!P145,0)+IF(Scenario_Select="Scenario 3",'CBA Inputs'!P$148-'CBA Inputs'!P152,0)+IF(Scenario_Select="Scenario 4",'CBA Inputs'!P$155-'CBA Inputs'!P159,0)),0)*Q$31</f>
        <v>16239.70208119275</v>
      </c>
      <c r="R111" s="17">
        <f>IFERROR('Option inputs'!$F18*(IF(Scenario_Select="Scenario 1",'CBA Inputs'!Q$134-'CBA Inputs'!Q138,0)+IF(Scenario_Select="Scenario 2",'CBA Inputs'!Q$141-'CBA Inputs'!Q145,0)+IF(Scenario_Select="Scenario 3",'CBA Inputs'!Q$148-'CBA Inputs'!Q152,0)+IF(Scenario_Select="Scenario 4",'CBA Inputs'!Q$155-'CBA Inputs'!Q159,0)),0)*R$31</f>
        <v>427518.7157604075</v>
      </c>
      <c r="S111" s="17">
        <f>IFERROR('Option inputs'!$F18*(IF(Scenario_Select="Scenario 1",'CBA Inputs'!R$134-'CBA Inputs'!R138,0)+IF(Scenario_Select="Scenario 2",'CBA Inputs'!R$141-'CBA Inputs'!R145,0)+IF(Scenario_Select="Scenario 3",'CBA Inputs'!R$148-'CBA Inputs'!R152,0)+IF(Scenario_Select="Scenario 4",'CBA Inputs'!R$155-'CBA Inputs'!R159,0)),0)*S$31</f>
        <v>-9305.0386651067529</v>
      </c>
      <c r="T111" s="17">
        <f>IFERROR('Option inputs'!$F18*(IF(Scenario_Select="Scenario 1",'CBA Inputs'!S$134-'CBA Inputs'!S138,0)+IF(Scenario_Select="Scenario 2",'CBA Inputs'!S$141-'CBA Inputs'!S145,0)+IF(Scenario_Select="Scenario 3",'CBA Inputs'!S$148-'CBA Inputs'!S152,0)+IF(Scenario_Select="Scenario 4",'CBA Inputs'!S$155-'CBA Inputs'!S159,0)),0)*T$31</f>
        <v>-290733.88844425231</v>
      </c>
      <c r="U111" s="17">
        <f>IFERROR('Option inputs'!$F18*(IF(Scenario_Select="Scenario 1",'CBA Inputs'!T$134-'CBA Inputs'!T138,0)+IF(Scenario_Select="Scenario 2",'CBA Inputs'!T$141-'CBA Inputs'!T145,0)+IF(Scenario_Select="Scenario 3",'CBA Inputs'!T$148-'CBA Inputs'!T152,0)+IF(Scenario_Select="Scenario 4",'CBA Inputs'!T$155-'CBA Inputs'!T159,0)),0)*U$31</f>
        <v>301189.34217069577</v>
      </c>
      <c r="V111" s="17">
        <f>IFERROR('Option inputs'!$F18*(IF(Scenario_Select="Scenario 1",'CBA Inputs'!U$134-'CBA Inputs'!U138,0)+IF(Scenario_Select="Scenario 2",'CBA Inputs'!U$141-'CBA Inputs'!U145,0)+IF(Scenario_Select="Scenario 3",'CBA Inputs'!U$148-'CBA Inputs'!U152,0)+IF(Scenario_Select="Scenario 4",'CBA Inputs'!U$155-'CBA Inputs'!U159,0)),0)*V$31</f>
        <v>39616.658542402089</v>
      </c>
      <c r="W111" s="17">
        <f>IFERROR('Option inputs'!$F18*(IF(Scenario_Select="Scenario 1",'CBA Inputs'!V$134-'CBA Inputs'!V138,0)+IF(Scenario_Select="Scenario 2",'CBA Inputs'!V$141-'CBA Inputs'!V145,0)+IF(Scenario_Select="Scenario 3",'CBA Inputs'!V$148-'CBA Inputs'!V152,0)+IF(Scenario_Select="Scenario 4",'CBA Inputs'!V$155-'CBA Inputs'!V159,0)),0)*W$31</f>
        <v>1161832.1968517341</v>
      </c>
      <c r="X111" s="17">
        <f>IFERROR('Option inputs'!$F18*(IF(Scenario_Select="Scenario 1",'CBA Inputs'!W$134-'CBA Inputs'!W138,0)+IF(Scenario_Select="Scenario 2",'CBA Inputs'!W$141-'CBA Inputs'!W145,0)+IF(Scenario_Select="Scenario 3",'CBA Inputs'!W$148-'CBA Inputs'!W152,0)+IF(Scenario_Select="Scenario 4",'CBA Inputs'!W$155-'CBA Inputs'!W159,0)),0)*X$31</f>
        <v>12892.215446396182</v>
      </c>
      <c r="Y111" s="17">
        <f>IFERROR('Option inputs'!$F18*(IF(Scenario_Select="Scenario 1",'CBA Inputs'!X$134-'CBA Inputs'!X138,0)+IF(Scenario_Select="Scenario 2",'CBA Inputs'!X$141-'CBA Inputs'!X145,0)+IF(Scenario_Select="Scenario 3",'CBA Inputs'!X$148-'CBA Inputs'!X152,0)+IF(Scenario_Select="Scenario 4",'CBA Inputs'!X$155-'CBA Inputs'!X159,0)),0)*Y$31</f>
        <v>2576.663441984987</v>
      </c>
      <c r="Z111" s="17">
        <f>IFERROR('Option inputs'!$F18*(IF(Scenario_Select="Scenario 1",'CBA Inputs'!Y$134-'CBA Inputs'!Y138,0)+IF(Scenario_Select="Scenario 2",'CBA Inputs'!Y$141-'CBA Inputs'!Y145,0)+IF(Scenario_Select="Scenario 3",'CBA Inputs'!Y$148-'CBA Inputs'!Y152,0)+IF(Scenario_Select="Scenario 4",'CBA Inputs'!Y$155-'CBA Inputs'!Y159,0)),0)*Z$31</f>
        <v>225658.20492249262</v>
      </c>
      <c r="AA111" s="17">
        <f>IFERROR('Option inputs'!$F18*(IF(Scenario_Select="Scenario 1",'CBA Inputs'!Z$134-'CBA Inputs'!Z138,0)+IF(Scenario_Select="Scenario 2",'CBA Inputs'!Z$141-'CBA Inputs'!Z145,0)+IF(Scenario_Select="Scenario 3",'CBA Inputs'!Z$148-'CBA Inputs'!Z152,0)+IF(Scenario_Select="Scenario 4",'CBA Inputs'!Z$155-'CBA Inputs'!Z159,0)),0)*AA$31</f>
        <v>711658.21109105647</v>
      </c>
      <c r="AB111" s="17">
        <f>IFERROR('Option inputs'!$F18*(IF(Scenario_Select="Scenario 1",'CBA Inputs'!AA$134-'CBA Inputs'!AA138,0)+IF(Scenario_Select="Scenario 2",'CBA Inputs'!AA$141-'CBA Inputs'!AA145,0)+IF(Scenario_Select="Scenario 3",'CBA Inputs'!AA$148-'CBA Inputs'!AA152,0)+IF(Scenario_Select="Scenario 4",'CBA Inputs'!AA$155-'CBA Inputs'!AA159,0)),0)*AB$31</f>
        <v>-2526960.3234226964</v>
      </c>
      <c r="AC111" s="17">
        <f>IFERROR('Option inputs'!$F18*(IF(Scenario_Select="Scenario 1",'CBA Inputs'!AB$134-'CBA Inputs'!AB138,0)+IF(Scenario_Select="Scenario 2",'CBA Inputs'!AB$141-'CBA Inputs'!AB145,0)+IF(Scenario_Select="Scenario 3",'CBA Inputs'!AB$148-'CBA Inputs'!AB152,0)+IF(Scenario_Select="Scenario 4",'CBA Inputs'!AB$155-'CBA Inputs'!AB159,0)),0)*AC$31</f>
        <v>664736.50891626254</v>
      </c>
      <c r="AD111" s="17">
        <f>IFERROR('Option inputs'!$F18*(IF(Scenario_Select="Scenario 1",'CBA Inputs'!AC$134-'CBA Inputs'!AC138,0)+IF(Scenario_Select="Scenario 2",'CBA Inputs'!AC$141-'CBA Inputs'!AC145,0)+IF(Scenario_Select="Scenario 3",'CBA Inputs'!AC$148-'CBA Inputs'!AC152,0)+IF(Scenario_Select="Scenario 4",'CBA Inputs'!AC$155-'CBA Inputs'!AC159,0)),0)*AD$31</f>
        <v>903.46460385620594</v>
      </c>
      <c r="AE111" s="17">
        <f>IFERROR('Option inputs'!$F18*(IF(Scenario_Select="Scenario 1",'CBA Inputs'!AD$134-'CBA Inputs'!AD138,0)+IF(Scenario_Select="Scenario 2",'CBA Inputs'!AD$141-'CBA Inputs'!AD145,0)+IF(Scenario_Select="Scenario 3",'CBA Inputs'!AD$148-'CBA Inputs'!AD152,0)+IF(Scenario_Select="Scenario 4",'CBA Inputs'!AD$155-'CBA Inputs'!AD159,0)),0)*AE$31</f>
        <v>142416.13584560528</v>
      </c>
      <c r="AF111" s="17">
        <f>IFERROR('Option inputs'!$F18*(IF(Scenario_Select="Scenario 1",'CBA Inputs'!AE$134-'CBA Inputs'!AE138,0)+IF(Scenario_Select="Scenario 2",'CBA Inputs'!AE$141-'CBA Inputs'!AE145,0)+IF(Scenario_Select="Scenario 3",'CBA Inputs'!AE$148-'CBA Inputs'!AE152,0)+IF(Scenario_Select="Scenario 4",'CBA Inputs'!AE$155-'CBA Inputs'!AE159,0)),0)*AF$31</f>
        <v>11.696609040369626</v>
      </c>
      <c r="AG111" s="17">
        <f>IFERROR('Option inputs'!$F18*(IF(Scenario_Select="Scenario 1",'CBA Inputs'!AF$134-'CBA Inputs'!AF138,0)+IF(Scenario_Select="Scenario 2",'CBA Inputs'!AF$141-'CBA Inputs'!AF145,0)+IF(Scenario_Select="Scenario 3",'CBA Inputs'!AF$148-'CBA Inputs'!AF152,0)+IF(Scenario_Select="Scenario 4",'CBA Inputs'!AF$155-'CBA Inputs'!AF159,0)),0)*AG$31</f>
        <v>0</v>
      </c>
      <c r="AH111" s="17">
        <f>IFERROR('Option inputs'!$F18*(IF(Scenario_Select="Scenario 1",'CBA Inputs'!AG$134-'CBA Inputs'!AG138,0)+IF(Scenario_Select="Scenario 2",'CBA Inputs'!AG$141-'CBA Inputs'!AG145,0)+IF(Scenario_Select="Scenario 3",'CBA Inputs'!AG$148-'CBA Inputs'!AG152,0)+IF(Scenario_Select="Scenario 4",'CBA Inputs'!AG$155-'CBA Inputs'!AG159,0)),0)*AH$31</f>
        <v>0</v>
      </c>
      <c r="AI111" s="17">
        <f>IFERROR('Option inputs'!$F18*(IF(Scenario_Select="Scenario 1",'CBA Inputs'!AH$134-'CBA Inputs'!AH138,0)+IF(Scenario_Select="Scenario 2",'CBA Inputs'!AH$141-'CBA Inputs'!AH145,0)+IF(Scenario_Select="Scenario 3",'CBA Inputs'!AH$148-'CBA Inputs'!AH152,0)+IF(Scenario_Select="Scenario 4",'CBA Inputs'!AH$155-'CBA Inputs'!AH159,0)),0)*AI$31</f>
        <v>0</v>
      </c>
      <c r="AJ111" s="17">
        <f>IFERROR('Option inputs'!$F18*(IF(Scenario_Select="Scenario 1",'CBA Inputs'!AI$134-'CBA Inputs'!AI138,0)+IF(Scenario_Select="Scenario 2",'CBA Inputs'!AI$141-'CBA Inputs'!AI145,0)+IF(Scenario_Select="Scenario 3",'CBA Inputs'!AI$148-'CBA Inputs'!AI152,0)+IF(Scenario_Select="Scenario 4",'CBA Inputs'!AI$155-'CBA Inputs'!AI159,0)),0)*AJ$31</f>
        <v>0</v>
      </c>
    </row>
    <row r="113" spans="2:36" x14ac:dyDescent="0.35">
      <c r="B113" s="5" t="str">
        <f>+'CBA Inputs'!B161</f>
        <v>Costs for non RIT-T proponent parties</v>
      </c>
      <c r="C113" s="27"/>
      <c r="D113" s="27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2:36" x14ac:dyDescent="0.35">
      <c r="B114" s="7" t="s">
        <v>14</v>
      </c>
      <c r="C114" s="10" t="s">
        <v>13</v>
      </c>
      <c r="D114" s="10"/>
      <c r="E114" s="8" t="s">
        <v>22</v>
      </c>
      <c r="F114" s="8" t="s">
        <v>37</v>
      </c>
      <c r="G114" s="13" t="str">
        <f>G$32</f>
        <v>FY 2019-20</v>
      </c>
      <c r="H114" s="13" t="str">
        <f t="shared" ref="H114:AJ114" si="49">H$32</f>
        <v>FY 2020-21</v>
      </c>
      <c r="I114" s="13" t="str">
        <f t="shared" si="49"/>
        <v>FY 2021-22</v>
      </c>
      <c r="J114" s="13" t="str">
        <f t="shared" si="49"/>
        <v>FY 2022-23</v>
      </c>
      <c r="K114" s="13" t="str">
        <f t="shared" si="49"/>
        <v>FY 2023-24</v>
      </c>
      <c r="L114" s="13" t="str">
        <f t="shared" si="49"/>
        <v>FY 2024-25</v>
      </c>
      <c r="M114" s="13" t="str">
        <f t="shared" si="49"/>
        <v>FY 2025-26</v>
      </c>
      <c r="N114" s="13" t="str">
        <f t="shared" si="49"/>
        <v>FY 2026-27</v>
      </c>
      <c r="O114" s="13" t="str">
        <f t="shared" si="49"/>
        <v>FY 2027-28</v>
      </c>
      <c r="P114" s="13" t="str">
        <f t="shared" si="49"/>
        <v>FY 2028-29</v>
      </c>
      <c r="Q114" s="13" t="str">
        <f t="shared" si="49"/>
        <v>FY 2029-30</v>
      </c>
      <c r="R114" s="13" t="str">
        <f t="shared" si="49"/>
        <v>FY 2030-31</v>
      </c>
      <c r="S114" s="13" t="str">
        <f t="shared" si="49"/>
        <v>FY 2031-32</v>
      </c>
      <c r="T114" s="13" t="str">
        <f t="shared" si="49"/>
        <v>FY 2032-33</v>
      </c>
      <c r="U114" s="13" t="str">
        <f t="shared" si="49"/>
        <v>FY 2033-34</v>
      </c>
      <c r="V114" s="13" t="str">
        <f t="shared" si="49"/>
        <v>FY 2034-35</v>
      </c>
      <c r="W114" s="13" t="str">
        <f t="shared" si="49"/>
        <v>FY 2035-36</v>
      </c>
      <c r="X114" s="13" t="str">
        <f t="shared" si="49"/>
        <v>FY 2036-37</v>
      </c>
      <c r="Y114" s="13" t="str">
        <f t="shared" si="49"/>
        <v>FY 2037-38</v>
      </c>
      <c r="Z114" s="13" t="str">
        <f t="shared" si="49"/>
        <v>FY 2038-39</v>
      </c>
      <c r="AA114" s="13" t="str">
        <f t="shared" si="49"/>
        <v>FY 2039-40</v>
      </c>
      <c r="AB114" s="13" t="str">
        <f t="shared" si="49"/>
        <v>FY 2040-41</v>
      </c>
      <c r="AC114" s="13" t="str">
        <f t="shared" si="49"/>
        <v>FY 2041-42</v>
      </c>
      <c r="AD114" s="13" t="str">
        <f t="shared" si="49"/>
        <v>FY 2042-43</v>
      </c>
      <c r="AE114" s="13" t="str">
        <f t="shared" si="49"/>
        <v>FY 2043-44</v>
      </c>
      <c r="AF114" s="13" t="str">
        <f t="shared" si="49"/>
        <v>FY 2044-45</v>
      </c>
      <c r="AG114" s="13" t="str">
        <f t="shared" si="49"/>
        <v>FY 2045-46</v>
      </c>
      <c r="AH114" s="13" t="str">
        <f t="shared" si="49"/>
        <v>FY 2046-47</v>
      </c>
      <c r="AI114" s="13" t="str">
        <f t="shared" si="49"/>
        <v>FY 2047-48</v>
      </c>
      <c r="AJ114" s="13" t="str">
        <f t="shared" si="49"/>
        <v>FY 2048-49</v>
      </c>
    </row>
    <row r="115" spans="2:36" x14ac:dyDescent="0.35">
      <c r="B115" s="9">
        <f>'Option inputs'!B15</f>
        <v>1</v>
      </c>
      <c r="C115" s="14" t="str">
        <f>+'Option inputs'!C15</f>
        <v>Option 1A</v>
      </c>
      <c r="D115" s="25"/>
      <c r="E115" s="12" t="s">
        <v>35</v>
      </c>
      <c r="F115" s="18">
        <f t="shared" ref="F115:F118" si="50">NPV(DiscountRate_ACTIVE,G115:AJ115)/(1+DiscountRate_ACTIVE)^(FirstYear-BaseYear-2)</f>
        <v>310220748.82365382</v>
      </c>
      <c r="G115" s="17">
        <f>IFERROR('Option inputs'!$F15*(IF(Scenario_Select="Scenario 1",'CBA Inputs'!F$164-'CBA Inputs'!F165,0)+IF(Scenario_Select="Scenario 2",'CBA Inputs'!F$171-'CBA Inputs'!F172,0)+IF(Scenario_Select="Scenario 3",'CBA Inputs'!F$178-'CBA Inputs'!F179,0)+IF(Scenario_Select="Scenario 4",'CBA Inputs'!F$185-'CBA Inputs'!F186,0)),0)*G$31</f>
        <v>0</v>
      </c>
      <c r="H115" s="17">
        <f>IFERROR('Option inputs'!$F15*(IF(Scenario_Select="Scenario 1",'CBA Inputs'!G$164-'CBA Inputs'!G165,0)+IF(Scenario_Select="Scenario 2",'CBA Inputs'!G$171-'CBA Inputs'!G172,0)+IF(Scenario_Select="Scenario 3",'CBA Inputs'!G$178-'CBA Inputs'!G179,0)+IF(Scenario_Select="Scenario 4",'CBA Inputs'!G$185-'CBA Inputs'!G186,0)),0)*H$31</f>
        <v>299.60872721672058</v>
      </c>
      <c r="I115" s="17">
        <f>IFERROR('Option inputs'!$F15*(IF(Scenario_Select="Scenario 1",'CBA Inputs'!H$164-'CBA Inputs'!H165,0)+IF(Scenario_Select="Scenario 2",'CBA Inputs'!H$171-'CBA Inputs'!H172,0)+IF(Scenario_Select="Scenario 3",'CBA Inputs'!H$178-'CBA Inputs'!H179,0)+IF(Scenario_Select="Scenario 4",'CBA Inputs'!H$185-'CBA Inputs'!H186,0)),0)*I$31</f>
        <v>9254.5528930425644</v>
      </c>
      <c r="J115" s="17">
        <f>IFERROR('Option inputs'!$F15*(IF(Scenario_Select="Scenario 1",'CBA Inputs'!I$164-'CBA Inputs'!I165,0)+IF(Scenario_Select="Scenario 2",'CBA Inputs'!I$171-'CBA Inputs'!I172,0)+IF(Scenario_Select="Scenario 3",'CBA Inputs'!I$178-'CBA Inputs'!I179,0)+IF(Scenario_Select="Scenario 4",'CBA Inputs'!I$185-'CBA Inputs'!I186,0)),0)*J$31</f>
        <v>173618383.75794744</v>
      </c>
      <c r="K115" s="17">
        <f>IFERROR('Option inputs'!$F15*(IF(Scenario_Select="Scenario 1",'CBA Inputs'!J$164-'CBA Inputs'!J165,0)+IF(Scenario_Select="Scenario 2",'CBA Inputs'!J$171-'CBA Inputs'!J172,0)+IF(Scenario_Select="Scenario 3",'CBA Inputs'!J$178-'CBA Inputs'!J179,0)+IF(Scenario_Select="Scenario 4",'CBA Inputs'!J$185-'CBA Inputs'!J186,0)),0)*K$31</f>
        <v>-18551211.986917496</v>
      </c>
      <c r="L115" s="17">
        <f>IFERROR('Option inputs'!$F15*(IF(Scenario_Select="Scenario 1",'CBA Inputs'!K$164-'CBA Inputs'!K165,0)+IF(Scenario_Select="Scenario 2",'CBA Inputs'!K$171-'CBA Inputs'!K172,0)+IF(Scenario_Select="Scenario 3",'CBA Inputs'!K$178-'CBA Inputs'!K179,0)+IF(Scenario_Select="Scenario 4",'CBA Inputs'!K$185-'CBA Inputs'!K186,0)),0)*L$31</f>
        <v>-395053.17867469788</v>
      </c>
      <c r="M115" s="17">
        <f>IFERROR('Option inputs'!$F15*(IF(Scenario_Select="Scenario 1",'CBA Inputs'!L$164-'CBA Inputs'!L165,0)+IF(Scenario_Select="Scenario 2",'CBA Inputs'!L$171-'CBA Inputs'!L172,0)+IF(Scenario_Select="Scenario 3",'CBA Inputs'!L$178-'CBA Inputs'!L179,0)+IF(Scenario_Select="Scenario 4",'CBA Inputs'!L$185-'CBA Inputs'!L186,0)),0)*M$31</f>
        <v>1814607.9693551064</v>
      </c>
      <c r="N115" s="17">
        <f>IFERROR('Option inputs'!$F15*(IF(Scenario_Select="Scenario 1",'CBA Inputs'!M$164-'CBA Inputs'!M165,0)+IF(Scenario_Select="Scenario 2",'CBA Inputs'!M$171-'CBA Inputs'!M172,0)+IF(Scenario_Select="Scenario 3",'CBA Inputs'!M$178-'CBA Inputs'!M179,0)+IF(Scenario_Select="Scenario 4",'CBA Inputs'!M$185-'CBA Inputs'!M186,0)),0)*N$31</f>
        <v>4734427.5503022671</v>
      </c>
      <c r="O115" s="17">
        <f>IFERROR('Option inputs'!$F15*(IF(Scenario_Select="Scenario 1",'CBA Inputs'!N$164-'CBA Inputs'!N165,0)+IF(Scenario_Select="Scenario 2",'CBA Inputs'!N$171-'CBA Inputs'!N172,0)+IF(Scenario_Select="Scenario 3",'CBA Inputs'!N$178-'CBA Inputs'!N179,0)+IF(Scenario_Select="Scenario 4",'CBA Inputs'!N$185-'CBA Inputs'!N186,0)),0)*O$31</f>
        <v>5134615.7005624771</v>
      </c>
      <c r="P115" s="17">
        <f>IFERROR('Option inputs'!$F15*(IF(Scenario_Select="Scenario 1",'CBA Inputs'!O$164-'CBA Inputs'!O165,0)+IF(Scenario_Select="Scenario 2",'CBA Inputs'!O$171-'CBA Inputs'!O172,0)+IF(Scenario_Select="Scenario 3",'CBA Inputs'!O$178-'CBA Inputs'!O179,0)+IF(Scenario_Select="Scenario 4",'CBA Inputs'!O$185-'CBA Inputs'!O186,0)),0)*P$31</f>
        <v>225738743.72565079</v>
      </c>
      <c r="Q115" s="17">
        <f>IFERROR('Option inputs'!$F15*(IF(Scenario_Select="Scenario 1",'CBA Inputs'!P$164-'CBA Inputs'!P165,0)+IF(Scenario_Select="Scenario 2",'CBA Inputs'!P$171-'CBA Inputs'!P172,0)+IF(Scenario_Select="Scenario 3",'CBA Inputs'!P$178-'CBA Inputs'!P179,0)+IF(Scenario_Select="Scenario 4",'CBA Inputs'!P$185-'CBA Inputs'!P186,0)),0)*Q$31</f>
        <v>69063863.543722153</v>
      </c>
      <c r="R115" s="17">
        <f>IFERROR('Option inputs'!$F15*(IF(Scenario_Select="Scenario 1",'CBA Inputs'!Q$164-'CBA Inputs'!Q165,0)+IF(Scenario_Select="Scenario 2",'CBA Inputs'!Q$171-'CBA Inputs'!Q172,0)+IF(Scenario_Select="Scenario 3",'CBA Inputs'!Q$178-'CBA Inputs'!Q179,0)+IF(Scenario_Select="Scenario 4",'CBA Inputs'!Q$185-'CBA Inputs'!Q186,0)),0)*R$31</f>
        <v>-787363.32006108761</v>
      </c>
      <c r="S115" s="17">
        <f>IFERROR('Option inputs'!$F15*(IF(Scenario_Select="Scenario 1",'CBA Inputs'!R$164-'CBA Inputs'!R165,0)+IF(Scenario_Select="Scenario 2",'CBA Inputs'!R$171-'CBA Inputs'!R172,0)+IF(Scenario_Select="Scenario 3",'CBA Inputs'!R$178-'CBA Inputs'!R179,0)+IF(Scenario_Select="Scenario 4",'CBA Inputs'!R$185-'CBA Inputs'!R186,0)),0)*S$31</f>
        <v>57118882.282352448</v>
      </c>
      <c r="T115" s="17">
        <f>IFERROR('Option inputs'!$F15*(IF(Scenario_Select="Scenario 1",'CBA Inputs'!S$164-'CBA Inputs'!S165,0)+IF(Scenario_Select="Scenario 2",'CBA Inputs'!S$171-'CBA Inputs'!S172,0)+IF(Scenario_Select="Scenario 3",'CBA Inputs'!S$178-'CBA Inputs'!S179,0)+IF(Scenario_Select="Scenario 4",'CBA Inputs'!S$185-'CBA Inputs'!S186,0)),0)*T$31</f>
        <v>-253365987.0421381</v>
      </c>
      <c r="U115" s="17">
        <f>IFERROR('Option inputs'!$F15*(IF(Scenario_Select="Scenario 1",'CBA Inputs'!T$164-'CBA Inputs'!T165,0)+IF(Scenario_Select="Scenario 2",'CBA Inputs'!T$171-'CBA Inputs'!T172,0)+IF(Scenario_Select="Scenario 3",'CBA Inputs'!T$178-'CBA Inputs'!T179,0)+IF(Scenario_Select="Scenario 4",'CBA Inputs'!T$185-'CBA Inputs'!T186,0)),0)*U$31</f>
        <v>129032633.27796221</v>
      </c>
      <c r="V115" s="17">
        <f>IFERROR('Option inputs'!$F15*(IF(Scenario_Select="Scenario 1",'CBA Inputs'!U$164-'CBA Inputs'!U165,0)+IF(Scenario_Select="Scenario 2",'CBA Inputs'!U$171-'CBA Inputs'!U172,0)+IF(Scenario_Select="Scenario 3",'CBA Inputs'!U$178-'CBA Inputs'!U179,0)+IF(Scenario_Select="Scenario 4",'CBA Inputs'!U$185-'CBA Inputs'!U186,0)),0)*V$31</f>
        <v>206861186.25061035</v>
      </c>
      <c r="W115" s="17">
        <f>IFERROR('Option inputs'!$F15*(IF(Scenario_Select="Scenario 1",'CBA Inputs'!V$164-'CBA Inputs'!V165,0)+IF(Scenario_Select="Scenario 2",'CBA Inputs'!V$171-'CBA Inputs'!V172,0)+IF(Scenario_Select="Scenario 3",'CBA Inputs'!V$178-'CBA Inputs'!V179,0)+IF(Scenario_Select="Scenario 4",'CBA Inputs'!V$185-'CBA Inputs'!V186,0)),0)*W$31</f>
        <v>61728171.620040894</v>
      </c>
      <c r="X115" s="17">
        <f>IFERROR('Option inputs'!$F15*(IF(Scenario_Select="Scenario 1",'CBA Inputs'!W$164-'CBA Inputs'!W165,0)+IF(Scenario_Select="Scenario 2",'CBA Inputs'!W$171-'CBA Inputs'!W172,0)+IF(Scenario_Select="Scenario 3",'CBA Inputs'!W$178-'CBA Inputs'!W179,0)+IF(Scenario_Select="Scenario 4",'CBA Inputs'!W$185-'CBA Inputs'!W186,0)),0)*X$31</f>
        <v>-311582490.58197355</v>
      </c>
      <c r="Y115" s="17">
        <f>IFERROR('Option inputs'!$F15*(IF(Scenario_Select="Scenario 1",'CBA Inputs'!X$164-'CBA Inputs'!X165,0)+IF(Scenario_Select="Scenario 2",'CBA Inputs'!X$171-'CBA Inputs'!X172,0)+IF(Scenario_Select="Scenario 3",'CBA Inputs'!X$178-'CBA Inputs'!X179,0)+IF(Scenario_Select="Scenario 4",'CBA Inputs'!X$185-'CBA Inputs'!X186,0)),0)*Y$31</f>
        <v>-10207786.006738901</v>
      </c>
      <c r="Z115" s="17">
        <f>IFERROR('Option inputs'!$F15*(IF(Scenario_Select="Scenario 1",'CBA Inputs'!Y$164-'CBA Inputs'!Y165,0)+IF(Scenario_Select="Scenario 2",'CBA Inputs'!Y$171-'CBA Inputs'!Y172,0)+IF(Scenario_Select="Scenario 3",'CBA Inputs'!Y$178-'CBA Inputs'!Y179,0)+IF(Scenario_Select="Scenario 4",'CBA Inputs'!Y$185-'CBA Inputs'!Y186,0)),0)*Z$31</f>
        <v>-4112290.5466761589</v>
      </c>
      <c r="AA115" s="17">
        <f>IFERROR('Option inputs'!$F15*(IF(Scenario_Select="Scenario 1",'CBA Inputs'!Z$164-'CBA Inputs'!Z165,0)+IF(Scenario_Select="Scenario 2",'CBA Inputs'!Z$171-'CBA Inputs'!Z172,0)+IF(Scenario_Select="Scenario 3",'CBA Inputs'!Z$178-'CBA Inputs'!Z179,0)+IF(Scenario_Select="Scenario 4",'CBA Inputs'!Z$185-'CBA Inputs'!Z186,0)),0)*AA$31</f>
        <v>105453566.09807873</v>
      </c>
      <c r="AB115" s="17">
        <f>IFERROR('Option inputs'!$F15*(IF(Scenario_Select="Scenario 1",'CBA Inputs'!AA$164-'CBA Inputs'!AA165,0)+IF(Scenario_Select="Scenario 2",'CBA Inputs'!AA$171-'CBA Inputs'!AA172,0)+IF(Scenario_Select="Scenario 3",'CBA Inputs'!AA$178-'CBA Inputs'!AA179,0)+IF(Scenario_Select="Scenario 4",'CBA Inputs'!AA$185-'CBA Inputs'!AA186,0)),0)*AB$31</f>
        <v>-83689454.097207546</v>
      </c>
      <c r="AC115" s="17">
        <f>IFERROR('Option inputs'!$F15*(IF(Scenario_Select="Scenario 1",'CBA Inputs'!AB$164-'CBA Inputs'!AB165,0)+IF(Scenario_Select="Scenario 2",'CBA Inputs'!AB$171-'CBA Inputs'!AB172,0)+IF(Scenario_Select="Scenario 3",'CBA Inputs'!AB$178-'CBA Inputs'!AB179,0)+IF(Scenario_Select="Scenario 4",'CBA Inputs'!AB$185-'CBA Inputs'!AB186,0)),0)*AC$31</f>
        <v>71651019.55900538</v>
      </c>
      <c r="AD115" s="17">
        <f>IFERROR('Option inputs'!$F15*(IF(Scenario_Select="Scenario 1",'CBA Inputs'!AC$164-'CBA Inputs'!AC165,0)+IF(Scenario_Select="Scenario 2",'CBA Inputs'!AC$171-'CBA Inputs'!AC172,0)+IF(Scenario_Select="Scenario 3",'CBA Inputs'!AC$178-'CBA Inputs'!AC179,0)+IF(Scenario_Select="Scenario 4",'CBA Inputs'!AC$185-'CBA Inputs'!AC186,0)),0)*AD$31</f>
        <v>24890378.535867333</v>
      </c>
      <c r="AE115" s="17">
        <f>IFERROR('Option inputs'!$F15*(IF(Scenario_Select="Scenario 1",'CBA Inputs'!AD$164-'CBA Inputs'!AD165,0)+IF(Scenario_Select="Scenario 2",'CBA Inputs'!AD$171-'CBA Inputs'!AD172,0)+IF(Scenario_Select="Scenario 3",'CBA Inputs'!AD$178-'CBA Inputs'!AD179,0)+IF(Scenario_Select="Scenario 4",'CBA Inputs'!AD$185-'CBA Inputs'!AD186,0)),0)*AE$31</f>
        <v>-45666477.636971951</v>
      </c>
      <c r="AF115" s="17">
        <f>IFERROR('Option inputs'!$F15*(IF(Scenario_Select="Scenario 1",'CBA Inputs'!AE$164-'CBA Inputs'!AE165,0)+IF(Scenario_Select="Scenario 2",'CBA Inputs'!AE$171-'CBA Inputs'!AE172,0)+IF(Scenario_Select="Scenario 3",'CBA Inputs'!AE$178-'CBA Inputs'!AE179,0)+IF(Scenario_Select="Scenario 4",'CBA Inputs'!AE$185-'CBA Inputs'!AE186,0)),0)*AF$31</f>
        <v>4625286.4278271198</v>
      </c>
      <c r="AG115" s="17">
        <f>IFERROR('Option inputs'!$F15*(IF(Scenario_Select="Scenario 1",'CBA Inputs'!AF$164-'CBA Inputs'!AF165,0)+IF(Scenario_Select="Scenario 2",'CBA Inputs'!AF$171-'CBA Inputs'!AF172,0)+IF(Scenario_Select="Scenario 3",'CBA Inputs'!AF$178-'CBA Inputs'!AF179,0)+IF(Scenario_Select="Scenario 4",'CBA Inputs'!AF$185-'CBA Inputs'!AF186,0)),0)*AG$31</f>
        <v>0</v>
      </c>
      <c r="AH115" s="17">
        <f>IFERROR('Option inputs'!$F15*(IF(Scenario_Select="Scenario 1",'CBA Inputs'!AG$164-'CBA Inputs'!AG165,0)+IF(Scenario_Select="Scenario 2",'CBA Inputs'!AG$171-'CBA Inputs'!AG172,0)+IF(Scenario_Select="Scenario 3",'CBA Inputs'!AG$178-'CBA Inputs'!AG179,0)+IF(Scenario_Select="Scenario 4",'CBA Inputs'!AG$185-'CBA Inputs'!AG186,0)),0)*AH$31</f>
        <v>0</v>
      </c>
      <c r="AI115" s="17">
        <f>IFERROR('Option inputs'!$F15*(IF(Scenario_Select="Scenario 1",'CBA Inputs'!AH$164-'CBA Inputs'!AH165,0)+IF(Scenario_Select="Scenario 2",'CBA Inputs'!AH$171-'CBA Inputs'!AH172,0)+IF(Scenario_Select="Scenario 3",'CBA Inputs'!AH$178-'CBA Inputs'!AH179,0)+IF(Scenario_Select="Scenario 4",'CBA Inputs'!AH$185-'CBA Inputs'!AH186,0)),0)*AI$31</f>
        <v>0</v>
      </c>
      <c r="AJ115" s="17">
        <f>IFERROR('Option inputs'!$F15*(IF(Scenario_Select="Scenario 1",'CBA Inputs'!AI$164-'CBA Inputs'!AI165,0)+IF(Scenario_Select="Scenario 2",'CBA Inputs'!AI$171-'CBA Inputs'!AI172,0)+IF(Scenario_Select="Scenario 3",'CBA Inputs'!AI$178-'CBA Inputs'!AI179,0)+IF(Scenario_Select="Scenario 4",'CBA Inputs'!AI$185-'CBA Inputs'!AI186,0)),0)*AJ$31</f>
        <v>0</v>
      </c>
    </row>
    <row r="116" spans="2:36" x14ac:dyDescent="0.35">
      <c r="B116" s="9">
        <f>'Option inputs'!B16</f>
        <v>2</v>
      </c>
      <c r="C116" s="14" t="str">
        <f>+'Option inputs'!C16</f>
        <v>Option 1B</v>
      </c>
      <c r="D116" s="25"/>
      <c r="E116" s="12" t="s">
        <v>35</v>
      </c>
      <c r="F116" s="18">
        <f t="shared" si="50"/>
        <v>78304923.639512256</v>
      </c>
      <c r="G116" s="17">
        <f>IFERROR('Option inputs'!$F16*(IF(Scenario_Select="Scenario 1",'CBA Inputs'!F$164-'CBA Inputs'!F166,0)+IF(Scenario_Select="Scenario 2",'CBA Inputs'!F$171-'CBA Inputs'!F173,0)+IF(Scenario_Select="Scenario 3",'CBA Inputs'!F$178-'CBA Inputs'!F180,0)+IF(Scenario_Select="Scenario 4",'CBA Inputs'!F$185-'CBA Inputs'!F187,0)),0)*G$31</f>
        <v>0</v>
      </c>
      <c r="H116" s="17">
        <f>IFERROR('Option inputs'!$F16*(IF(Scenario_Select="Scenario 1",'CBA Inputs'!G$164-'CBA Inputs'!G166,0)+IF(Scenario_Select="Scenario 2",'CBA Inputs'!G$171-'CBA Inputs'!G173,0)+IF(Scenario_Select="Scenario 3",'CBA Inputs'!G$178-'CBA Inputs'!G180,0)+IF(Scenario_Select="Scenario 4",'CBA Inputs'!G$185-'CBA Inputs'!G187,0)),0)*H$31</f>
        <v>-506.69919049739838</v>
      </c>
      <c r="I116" s="17">
        <f>IFERROR('Option inputs'!$F16*(IF(Scenario_Select="Scenario 1",'CBA Inputs'!H$164-'CBA Inputs'!H166,0)+IF(Scenario_Select="Scenario 2",'CBA Inputs'!H$171-'CBA Inputs'!H173,0)+IF(Scenario_Select="Scenario 3",'CBA Inputs'!H$178-'CBA Inputs'!H180,0)+IF(Scenario_Select="Scenario 4",'CBA Inputs'!H$185-'CBA Inputs'!H187,0)),0)*I$31</f>
        <v>9229.8320137262344</v>
      </c>
      <c r="J116" s="17">
        <f>IFERROR('Option inputs'!$F16*(IF(Scenario_Select="Scenario 1",'CBA Inputs'!I$164-'CBA Inputs'!I166,0)+IF(Scenario_Select="Scenario 2",'CBA Inputs'!I$171-'CBA Inputs'!I173,0)+IF(Scenario_Select="Scenario 3",'CBA Inputs'!I$178-'CBA Inputs'!I180,0)+IF(Scenario_Select="Scenario 4",'CBA Inputs'!I$185-'CBA Inputs'!I187,0)),0)*J$31</f>
        <v>365470.92995619774</v>
      </c>
      <c r="K116" s="17">
        <f>IFERROR('Option inputs'!$F16*(IF(Scenario_Select="Scenario 1",'CBA Inputs'!J$164-'CBA Inputs'!J166,0)+IF(Scenario_Select="Scenario 2",'CBA Inputs'!J$171-'CBA Inputs'!J173,0)+IF(Scenario_Select="Scenario 3",'CBA Inputs'!J$178-'CBA Inputs'!J180,0)+IF(Scenario_Select="Scenario 4",'CBA Inputs'!J$185-'CBA Inputs'!J187,0)),0)*K$31</f>
        <v>-11999737.972116947</v>
      </c>
      <c r="L116" s="17">
        <f>IFERROR('Option inputs'!$F16*(IF(Scenario_Select="Scenario 1",'CBA Inputs'!K$164-'CBA Inputs'!K166,0)+IF(Scenario_Select="Scenario 2",'CBA Inputs'!K$171-'CBA Inputs'!K173,0)+IF(Scenario_Select="Scenario 3",'CBA Inputs'!K$178-'CBA Inputs'!K180,0)+IF(Scenario_Select="Scenario 4",'CBA Inputs'!K$185-'CBA Inputs'!K187,0)),0)*L$31</f>
        <v>365119.68109154701</v>
      </c>
      <c r="M116" s="17">
        <f>IFERROR('Option inputs'!$F16*(IF(Scenario_Select="Scenario 1",'CBA Inputs'!L$164-'CBA Inputs'!L166,0)+IF(Scenario_Select="Scenario 2",'CBA Inputs'!L$171-'CBA Inputs'!L173,0)+IF(Scenario_Select="Scenario 3",'CBA Inputs'!L$178-'CBA Inputs'!L180,0)+IF(Scenario_Select="Scenario 4",'CBA Inputs'!L$185-'CBA Inputs'!L187,0)),0)*M$31</f>
        <v>2143967.330578804</v>
      </c>
      <c r="N116" s="17">
        <f>IFERROR('Option inputs'!$F16*(IF(Scenario_Select="Scenario 1",'CBA Inputs'!M$164-'CBA Inputs'!M166,0)+IF(Scenario_Select="Scenario 2",'CBA Inputs'!M$171-'CBA Inputs'!M173,0)+IF(Scenario_Select="Scenario 3",'CBA Inputs'!M$178-'CBA Inputs'!M180,0)+IF(Scenario_Select="Scenario 4",'CBA Inputs'!M$185-'CBA Inputs'!M187,0)),0)*N$31</f>
        <v>4216189.7370631695</v>
      </c>
      <c r="O116" s="17">
        <f>IFERROR('Option inputs'!$F16*(IF(Scenario_Select="Scenario 1",'CBA Inputs'!N$164-'CBA Inputs'!N166,0)+IF(Scenario_Select="Scenario 2",'CBA Inputs'!N$171-'CBA Inputs'!N173,0)+IF(Scenario_Select="Scenario 3",'CBA Inputs'!N$178-'CBA Inputs'!N180,0)+IF(Scenario_Select="Scenario 4",'CBA Inputs'!N$185-'CBA Inputs'!N187,0)),0)*O$31</f>
        <v>3441935.9077658653</v>
      </c>
      <c r="P116" s="17">
        <f>IFERROR('Option inputs'!$F16*(IF(Scenario_Select="Scenario 1",'CBA Inputs'!O$164-'CBA Inputs'!O166,0)+IF(Scenario_Select="Scenario 2",'CBA Inputs'!O$171-'CBA Inputs'!O173,0)+IF(Scenario_Select="Scenario 3",'CBA Inputs'!O$178-'CBA Inputs'!O180,0)+IF(Scenario_Select="Scenario 4",'CBA Inputs'!O$185-'CBA Inputs'!O187,0)),0)*P$31</f>
        <v>143371791.65458488</v>
      </c>
      <c r="Q116" s="17">
        <f>IFERROR('Option inputs'!$F16*(IF(Scenario_Select="Scenario 1",'CBA Inputs'!P$164-'CBA Inputs'!P166,0)+IF(Scenario_Select="Scenario 2",'CBA Inputs'!P$171-'CBA Inputs'!P173,0)+IF(Scenario_Select="Scenario 3",'CBA Inputs'!P$178-'CBA Inputs'!P180,0)+IF(Scenario_Select="Scenario 4",'CBA Inputs'!P$185-'CBA Inputs'!P187,0)),0)*Q$31</f>
        <v>4325849.7224583626</v>
      </c>
      <c r="R116" s="17">
        <f>IFERROR('Option inputs'!$F16*(IF(Scenario_Select="Scenario 1",'CBA Inputs'!Q$164-'CBA Inputs'!Q166,0)+IF(Scenario_Select="Scenario 2",'CBA Inputs'!Q$171-'CBA Inputs'!Q173,0)+IF(Scenario_Select="Scenario 3",'CBA Inputs'!Q$178-'CBA Inputs'!Q180,0)+IF(Scenario_Select="Scenario 4",'CBA Inputs'!Q$185-'CBA Inputs'!Q187,0)),0)*R$31</f>
        <v>742628.97913372517</v>
      </c>
      <c r="S116" s="17">
        <f>IFERROR('Option inputs'!$F16*(IF(Scenario_Select="Scenario 1",'CBA Inputs'!R$164-'CBA Inputs'!R166,0)+IF(Scenario_Select="Scenario 2",'CBA Inputs'!R$171-'CBA Inputs'!R173,0)+IF(Scenario_Select="Scenario 3",'CBA Inputs'!R$178-'CBA Inputs'!R180,0)+IF(Scenario_Select="Scenario 4",'CBA Inputs'!R$185-'CBA Inputs'!R187,0)),0)*S$31</f>
        <v>-39329742.55739212</v>
      </c>
      <c r="T116" s="17">
        <f>IFERROR('Option inputs'!$F16*(IF(Scenario_Select="Scenario 1",'CBA Inputs'!S$164-'CBA Inputs'!S166,0)+IF(Scenario_Select="Scenario 2",'CBA Inputs'!S$171-'CBA Inputs'!S173,0)+IF(Scenario_Select="Scenario 3",'CBA Inputs'!S$178-'CBA Inputs'!S180,0)+IF(Scenario_Select="Scenario 4",'CBA Inputs'!S$185-'CBA Inputs'!S187,0)),0)*T$31</f>
        <v>-232347222.11849499</v>
      </c>
      <c r="U116" s="17">
        <f>IFERROR('Option inputs'!$F16*(IF(Scenario_Select="Scenario 1",'CBA Inputs'!T$164-'CBA Inputs'!T166,0)+IF(Scenario_Select="Scenario 2",'CBA Inputs'!T$171-'CBA Inputs'!T173,0)+IF(Scenario_Select="Scenario 3",'CBA Inputs'!T$178-'CBA Inputs'!T180,0)+IF(Scenario_Select="Scenario 4",'CBA Inputs'!T$185-'CBA Inputs'!T187,0)),0)*U$31</f>
        <v>217010674.86454868</v>
      </c>
      <c r="V116" s="17">
        <f>IFERROR('Option inputs'!$F16*(IF(Scenario_Select="Scenario 1",'CBA Inputs'!U$164-'CBA Inputs'!U166,0)+IF(Scenario_Select="Scenario 2",'CBA Inputs'!U$171-'CBA Inputs'!U173,0)+IF(Scenario_Select="Scenario 3",'CBA Inputs'!U$178-'CBA Inputs'!U180,0)+IF(Scenario_Select="Scenario 4",'CBA Inputs'!U$185-'CBA Inputs'!U187,0)),0)*V$31</f>
        <v>7011427.6374909878</v>
      </c>
      <c r="W116" s="17">
        <f>IFERROR('Option inputs'!$F16*(IF(Scenario_Select="Scenario 1",'CBA Inputs'!V$164-'CBA Inputs'!V166,0)+IF(Scenario_Select="Scenario 2",'CBA Inputs'!V$171-'CBA Inputs'!V173,0)+IF(Scenario_Select="Scenario 3",'CBA Inputs'!V$178-'CBA Inputs'!V180,0)+IF(Scenario_Select="Scenario 4",'CBA Inputs'!V$185-'CBA Inputs'!V187,0)),0)*W$31</f>
        <v>166720799.36078835</v>
      </c>
      <c r="X116" s="17">
        <f>IFERROR('Option inputs'!$F16*(IF(Scenario_Select="Scenario 1",'CBA Inputs'!W$164-'CBA Inputs'!W166,0)+IF(Scenario_Select="Scenario 2",'CBA Inputs'!W$171-'CBA Inputs'!W173,0)+IF(Scenario_Select="Scenario 3",'CBA Inputs'!W$178-'CBA Inputs'!W180,0)+IF(Scenario_Select="Scenario 4",'CBA Inputs'!W$185-'CBA Inputs'!W187,0)),0)*X$31</f>
        <v>-110266780.19095278</v>
      </c>
      <c r="Y116" s="17">
        <f>IFERROR('Option inputs'!$F16*(IF(Scenario_Select="Scenario 1",'CBA Inputs'!X$164-'CBA Inputs'!X166,0)+IF(Scenario_Select="Scenario 2",'CBA Inputs'!X$171-'CBA Inputs'!X173,0)+IF(Scenario_Select="Scenario 3",'CBA Inputs'!X$178-'CBA Inputs'!X180,0)+IF(Scenario_Select="Scenario 4",'CBA Inputs'!X$185-'CBA Inputs'!X187,0)),0)*Y$31</f>
        <v>-18662141.279263973</v>
      </c>
      <c r="Z116" s="17">
        <f>IFERROR('Option inputs'!$F16*(IF(Scenario_Select="Scenario 1",'CBA Inputs'!Y$164-'CBA Inputs'!Y166,0)+IF(Scenario_Select="Scenario 2",'CBA Inputs'!Y$171-'CBA Inputs'!Y173,0)+IF(Scenario_Select="Scenario 3",'CBA Inputs'!Y$178-'CBA Inputs'!Y180,0)+IF(Scenario_Select="Scenario 4",'CBA Inputs'!Y$185-'CBA Inputs'!Y187,0)),0)*Z$31</f>
        <v>12015837.376588821</v>
      </c>
      <c r="AA116" s="17">
        <f>IFERROR('Option inputs'!$F16*(IF(Scenario_Select="Scenario 1",'CBA Inputs'!Z$164-'CBA Inputs'!Z166,0)+IF(Scenario_Select="Scenario 2",'CBA Inputs'!Z$171-'CBA Inputs'!Z173,0)+IF(Scenario_Select="Scenario 3",'CBA Inputs'!Z$178-'CBA Inputs'!Z180,0)+IF(Scenario_Select="Scenario 4",'CBA Inputs'!Z$185-'CBA Inputs'!Z187,0)),0)*AA$31</f>
        <v>-14786418.024186611</v>
      </c>
      <c r="AB116" s="17">
        <f>IFERROR('Option inputs'!$F16*(IF(Scenario_Select="Scenario 1",'CBA Inputs'!AA$164-'CBA Inputs'!AA166,0)+IF(Scenario_Select="Scenario 2",'CBA Inputs'!AA$171-'CBA Inputs'!AA173,0)+IF(Scenario_Select="Scenario 3",'CBA Inputs'!AA$178-'CBA Inputs'!AA180,0)+IF(Scenario_Select="Scenario 4",'CBA Inputs'!AA$185-'CBA Inputs'!AA187,0)),0)*AB$31</f>
        <v>29970659.494691372</v>
      </c>
      <c r="AC116" s="17">
        <f>IFERROR('Option inputs'!$F16*(IF(Scenario_Select="Scenario 1",'CBA Inputs'!AB$164-'CBA Inputs'!AB166,0)+IF(Scenario_Select="Scenario 2",'CBA Inputs'!AB$171-'CBA Inputs'!AB173,0)+IF(Scenario_Select="Scenario 3",'CBA Inputs'!AB$178-'CBA Inputs'!AB180,0)+IF(Scenario_Select="Scenario 4",'CBA Inputs'!AB$185-'CBA Inputs'!AB187,0)),0)*AC$31</f>
        <v>17762501.665426135</v>
      </c>
      <c r="AD116" s="17">
        <f>IFERROR('Option inputs'!$F16*(IF(Scenario_Select="Scenario 1",'CBA Inputs'!AC$164-'CBA Inputs'!AC166,0)+IF(Scenario_Select="Scenario 2",'CBA Inputs'!AC$171-'CBA Inputs'!AC173,0)+IF(Scenario_Select="Scenario 3",'CBA Inputs'!AC$178-'CBA Inputs'!AC180,0)+IF(Scenario_Select="Scenario 4",'CBA Inputs'!AC$185-'CBA Inputs'!AC187,0)),0)*AD$31</f>
        <v>1414749.8877418041</v>
      </c>
      <c r="AE116" s="17">
        <f>IFERROR('Option inputs'!$F16*(IF(Scenario_Select="Scenario 1",'CBA Inputs'!AD$164-'CBA Inputs'!AD166,0)+IF(Scenario_Select="Scenario 2",'CBA Inputs'!AD$171-'CBA Inputs'!AD173,0)+IF(Scenario_Select="Scenario 3",'CBA Inputs'!AD$178-'CBA Inputs'!AD180,0)+IF(Scenario_Select="Scenario 4",'CBA Inputs'!AD$185-'CBA Inputs'!AD187,0)),0)*AE$31</f>
        <v>-59701543.849038601</v>
      </c>
      <c r="AF116" s="17">
        <f>IFERROR('Option inputs'!$F16*(IF(Scenario_Select="Scenario 1",'CBA Inputs'!AE$164-'CBA Inputs'!AE166,0)+IF(Scenario_Select="Scenario 2",'CBA Inputs'!AE$171-'CBA Inputs'!AE173,0)+IF(Scenario_Select="Scenario 3",'CBA Inputs'!AE$178-'CBA Inputs'!AE180,0)+IF(Scenario_Select="Scenario 4",'CBA Inputs'!AE$185-'CBA Inputs'!AE187,0)),0)*AF$31</f>
        <v>3113394.1250170469</v>
      </c>
      <c r="AG116" s="17">
        <f>IFERROR('Option inputs'!$F16*(IF(Scenario_Select="Scenario 1",'CBA Inputs'!AF$164-'CBA Inputs'!AF166,0)+IF(Scenario_Select="Scenario 2",'CBA Inputs'!AF$171-'CBA Inputs'!AF173,0)+IF(Scenario_Select="Scenario 3",'CBA Inputs'!AF$178-'CBA Inputs'!AF180,0)+IF(Scenario_Select="Scenario 4",'CBA Inputs'!AF$185-'CBA Inputs'!AF187,0)),0)*AG$31</f>
        <v>0</v>
      </c>
      <c r="AH116" s="17">
        <f>IFERROR('Option inputs'!$F16*(IF(Scenario_Select="Scenario 1",'CBA Inputs'!AG$164-'CBA Inputs'!AG166,0)+IF(Scenario_Select="Scenario 2",'CBA Inputs'!AG$171-'CBA Inputs'!AG173,0)+IF(Scenario_Select="Scenario 3",'CBA Inputs'!AG$178-'CBA Inputs'!AG180,0)+IF(Scenario_Select="Scenario 4",'CBA Inputs'!AG$185-'CBA Inputs'!AG187,0)),0)*AH$31</f>
        <v>0</v>
      </c>
      <c r="AI116" s="17">
        <f>IFERROR('Option inputs'!$F16*(IF(Scenario_Select="Scenario 1",'CBA Inputs'!AH$164-'CBA Inputs'!AH166,0)+IF(Scenario_Select="Scenario 2",'CBA Inputs'!AH$171-'CBA Inputs'!AH173,0)+IF(Scenario_Select="Scenario 3",'CBA Inputs'!AH$178-'CBA Inputs'!AH180,0)+IF(Scenario_Select="Scenario 4",'CBA Inputs'!AH$185-'CBA Inputs'!AH187,0)),0)*AI$31</f>
        <v>0</v>
      </c>
      <c r="AJ116" s="17">
        <f>IFERROR('Option inputs'!$F16*(IF(Scenario_Select="Scenario 1",'CBA Inputs'!AI$164-'CBA Inputs'!AI166,0)+IF(Scenario_Select="Scenario 2",'CBA Inputs'!AI$171-'CBA Inputs'!AI173,0)+IF(Scenario_Select="Scenario 3",'CBA Inputs'!AI$178-'CBA Inputs'!AI180,0)+IF(Scenario_Select="Scenario 4",'CBA Inputs'!AI$185-'CBA Inputs'!AI187,0)),0)*AJ$31</f>
        <v>0</v>
      </c>
    </row>
    <row r="117" spans="2:36" x14ac:dyDescent="0.35">
      <c r="B117" s="9">
        <f>'Option inputs'!B17</f>
        <v>3</v>
      </c>
      <c r="C117" s="14" t="str">
        <f>+'Option inputs'!C17</f>
        <v>Option 1C</v>
      </c>
      <c r="D117" s="25"/>
      <c r="E117" s="12" t="s">
        <v>35</v>
      </c>
      <c r="F117" s="18">
        <f t="shared" si="50"/>
        <v>157001201.40343547</v>
      </c>
      <c r="G117" s="17">
        <f>IFERROR('Option inputs'!$F17*(IF(Scenario_Select="Scenario 1",'CBA Inputs'!F$164-'CBA Inputs'!F167,0)+IF(Scenario_Select="Scenario 2",'CBA Inputs'!F$171-'CBA Inputs'!F174,0)+IF(Scenario_Select="Scenario 3",'CBA Inputs'!F$178-'CBA Inputs'!F181,0)+IF(Scenario_Select="Scenario 4",'CBA Inputs'!F$185-'CBA Inputs'!F188,0)),0)*G$31</f>
        <v>0</v>
      </c>
      <c r="H117" s="17">
        <f>IFERROR('Option inputs'!$F17*(IF(Scenario_Select="Scenario 1",'CBA Inputs'!G$164-'CBA Inputs'!G167,0)+IF(Scenario_Select="Scenario 2",'CBA Inputs'!G$171-'CBA Inputs'!G174,0)+IF(Scenario_Select="Scenario 3",'CBA Inputs'!G$178-'CBA Inputs'!G181,0)+IF(Scenario_Select="Scenario 4",'CBA Inputs'!G$185-'CBA Inputs'!G188,0)),0)*H$31</f>
        <v>261.07599425315857</v>
      </c>
      <c r="I117" s="17">
        <f>IFERROR('Option inputs'!$F17*(IF(Scenario_Select="Scenario 1",'CBA Inputs'!H$164-'CBA Inputs'!H167,0)+IF(Scenario_Select="Scenario 2",'CBA Inputs'!H$171-'CBA Inputs'!H174,0)+IF(Scenario_Select="Scenario 3",'CBA Inputs'!H$178-'CBA Inputs'!H181,0)+IF(Scenario_Select="Scenario 4",'CBA Inputs'!H$185-'CBA Inputs'!H188,0)),0)*I$31</f>
        <v>4326.4175020456314</v>
      </c>
      <c r="J117" s="17">
        <f>IFERROR('Option inputs'!$F17*(IF(Scenario_Select="Scenario 1",'CBA Inputs'!I$164-'CBA Inputs'!I167,0)+IF(Scenario_Select="Scenario 2",'CBA Inputs'!I$171-'CBA Inputs'!I174,0)+IF(Scenario_Select="Scenario 3",'CBA Inputs'!I$178-'CBA Inputs'!I181,0)+IF(Scenario_Select="Scenario 4",'CBA Inputs'!I$185-'CBA Inputs'!I188,0)),0)*J$31</f>
        <v>76805228.378244638</v>
      </c>
      <c r="K117" s="17">
        <f>IFERROR('Option inputs'!$F17*(IF(Scenario_Select="Scenario 1",'CBA Inputs'!J$164-'CBA Inputs'!J167,0)+IF(Scenario_Select="Scenario 2",'CBA Inputs'!J$171-'CBA Inputs'!J174,0)+IF(Scenario_Select="Scenario 3",'CBA Inputs'!J$178-'CBA Inputs'!J181,0)+IF(Scenario_Select="Scenario 4",'CBA Inputs'!J$185-'CBA Inputs'!J188,0)),0)*K$31</f>
        <v>33748929.018251181</v>
      </c>
      <c r="L117" s="17">
        <f>IFERROR('Option inputs'!$F17*(IF(Scenario_Select="Scenario 1",'CBA Inputs'!K$164-'CBA Inputs'!K167,0)+IF(Scenario_Select="Scenario 2",'CBA Inputs'!K$171-'CBA Inputs'!K174,0)+IF(Scenario_Select="Scenario 3",'CBA Inputs'!K$178-'CBA Inputs'!K181,0)+IF(Scenario_Select="Scenario 4",'CBA Inputs'!K$185-'CBA Inputs'!K188,0)),0)*L$31</f>
        <v>-532701.13441860676</v>
      </c>
      <c r="M117" s="17">
        <f>IFERROR('Option inputs'!$F17*(IF(Scenario_Select="Scenario 1",'CBA Inputs'!L$164-'CBA Inputs'!L167,0)+IF(Scenario_Select="Scenario 2",'CBA Inputs'!L$171-'CBA Inputs'!L174,0)+IF(Scenario_Select="Scenario 3",'CBA Inputs'!L$178-'CBA Inputs'!L181,0)+IF(Scenario_Select="Scenario 4",'CBA Inputs'!L$185-'CBA Inputs'!L188,0)),0)*M$31</f>
        <v>239905.58815646172</v>
      </c>
      <c r="N117" s="17">
        <f>IFERROR('Option inputs'!$F17*(IF(Scenario_Select="Scenario 1",'CBA Inputs'!M$164-'CBA Inputs'!M167,0)+IF(Scenario_Select="Scenario 2",'CBA Inputs'!M$171-'CBA Inputs'!M174,0)+IF(Scenario_Select="Scenario 3",'CBA Inputs'!M$178-'CBA Inputs'!M181,0)+IF(Scenario_Select="Scenario 4",'CBA Inputs'!M$185-'CBA Inputs'!M188,0)),0)*N$31</f>
        <v>1364948.2071100473</v>
      </c>
      <c r="O117" s="17">
        <f>IFERROR('Option inputs'!$F17*(IF(Scenario_Select="Scenario 1",'CBA Inputs'!N$164-'CBA Inputs'!N167,0)+IF(Scenario_Select="Scenario 2",'CBA Inputs'!N$171-'CBA Inputs'!N174,0)+IF(Scenario_Select="Scenario 3",'CBA Inputs'!N$178-'CBA Inputs'!N181,0)+IF(Scenario_Select="Scenario 4",'CBA Inputs'!N$185-'CBA Inputs'!N188,0)),0)*O$31</f>
        <v>1584871.1184043884</v>
      </c>
      <c r="P117" s="17">
        <f>IFERROR('Option inputs'!$F17*(IF(Scenario_Select="Scenario 1",'CBA Inputs'!O$164-'CBA Inputs'!O167,0)+IF(Scenario_Select="Scenario 2",'CBA Inputs'!O$171-'CBA Inputs'!O174,0)+IF(Scenario_Select="Scenario 3",'CBA Inputs'!O$178-'CBA Inputs'!O181,0)+IF(Scenario_Select="Scenario 4",'CBA Inputs'!O$185-'CBA Inputs'!O188,0)),0)*P$31</f>
        <v>78264645.944090843</v>
      </c>
      <c r="Q117" s="17">
        <f>IFERROR('Option inputs'!$F17*(IF(Scenario_Select="Scenario 1",'CBA Inputs'!P$164-'CBA Inputs'!P167,0)+IF(Scenario_Select="Scenario 2",'CBA Inputs'!P$171-'CBA Inputs'!P174,0)+IF(Scenario_Select="Scenario 3",'CBA Inputs'!P$178-'CBA Inputs'!P181,0)+IF(Scenario_Select="Scenario 4",'CBA Inputs'!P$185-'CBA Inputs'!P188,0)),0)*Q$31</f>
        <v>-48984381.944437027</v>
      </c>
      <c r="R117" s="17">
        <f>IFERROR('Option inputs'!$F17*(IF(Scenario_Select="Scenario 1",'CBA Inputs'!Q$164-'CBA Inputs'!Q167,0)+IF(Scenario_Select="Scenario 2",'CBA Inputs'!Q$171-'CBA Inputs'!Q174,0)+IF(Scenario_Select="Scenario 3",'CBA Inputs'!Q$178-'CBA Inputs'!Q181,0)+IF(Scenario_Select="Scenario 4",'CBA Inputs'!Q$185-'CBA Inputs'!Q188,0)),0)*R$31</f>
        <v>-202928.09432065487</v>
      </c>
      <c r="S117" s="17">
        <f>IFERROR('Option inputs'!$F17*(IF(Scenario_Select="Scenario 1",'CBA Inputs'!R$164-'CBA Inputs'!R167,0)+IF(Scenario_Select="Scenario 2",'CBA Inputs'!R$171-'CBA Inputs'!R174,0)+IF(Scenario_Select="Scenario 3",'CBA Inputs'!R$178-'CBA Inputs'!R181,0)+IF(Scenario_Select="Scenario 4",'CBA Inputs'!R$185-'CBA Inputs'!R188,0)),0)*S$31</f>
        <v>149936408.10614014</v>
      </c>
      <c r="T117" s="17">
        <f>IFERROR('Option inputs'!$F17*(IF(Scenario_Select="Scenario 1",'CBA Inputs'!S$164-'CBA Inputs'!S167,0)+IF(Scenario_Select="Scenario 2",'CBA Inputs'!S$171-'CBA Inputs'!S174,0)+IF(Scenario_Select="Scenario 3",'CBA Inputs'!S$178-'CBA Inputs'!S181,0)+IF(Scenario_Select="Scenario 4",'CBA Inputs'!S$185-'CBA Inputs'!S188,0)),0)*T$31</f>
        <v>-51093030.040378571</v>
      </c>
      <c r="U117" s="17">
        <f>IFERROR('Option inputs'!$F17*(IF(Scenario_Select="Scenario 1",'CBA Inputs'!T$164-'CBA Inputs'!T167,0)+IF(Scenario_Select="Scenario 2",'CBA Inputs'!T$171-'CBA Inputs'!T174,0)+IF(Scenario_Select="Scenario 3",'CBA Inputs'!T$178-'CBA Inputs'!T181,0)+IF(Scenario_Select="Scenario 4",'CBA Inputs'!T$185-'CBA Inputs'!T188,0)),0)*U$31</f>
        <v>-58301584.324174404</v>
      </c>
      <c r="V117" s="17">
        <f>IFERROR('Option inputs'!$F17*(IF(Scenario_Select="Scenario 1",'CBA Inputs'!U$164-'CBA Inputs'!U167,0)+IF(Scenario_Select="Scenario 2",'CBA Inputs'!U$171-'CBA Inputs'!U174,0)+IF(Scenario_Select="Scenario 3",'CBA Inputs'!U$178-'CBA Inputs'!U181,0)+IF(Scenario_Select="Scenario 4",'CBA Inputs'!U$185-'CBA Inputs'!U188,0)),0)*V$31</f>
        <v>204404781.25037122</v>
      </c>
      <c r="W117" s="17">
        <f>IFERROR('Option inputs'!$F17*(IF(Scenario_Select="Scenario 1",'CBA Inputs'!V$164-'CBA Inputs'!V167,0)+IF(Scenario_Select="Scenario 2",'CBA Inputs'!V$171-'CBA Inputs'!V174,0)+IF(Scenario_Select="Scenario 3",'CBA Inputs'!V$178-'CBA Inputs'!V181,0)+IF(Scenario_Select="Scenario 4",'CBA Inputs'!V$185-'CBA Inputs'!V188,0)),0)*W$31</f>
        <v>-55547397.311864853</v>
      </c>
      <c r="X117" s="17">
        <f>IFERROR('Option inputs'!$F17*(IF(Scenario_Select="Scenario 1",'CBA Inputs'!W$164-'CBA Inputs'!W167,0)+IF(Scenario_Select="Scenario 2",'CBA Inputs'!W$171-'CBA Inputs'!W174,0)+IF(Scenario_Select="Scenario 3",'CBA Inputs'!W$178-'CBA Inputs'!W181,0)+IF(Scenario_Select="Scenario 4",'CBA Inputs'!W$185-'CBA Inputs'!W188,0)),0)*X$31</f>
        <v>-202350398.97724915</v>
      </c>
      <c r="Y117" s="17">
        <f>IFERROR('Option inputs'!$F17*(IF(Scenario_Select="Scenario 1",'CBA Inputs'!X$164-'CBA Inputs'!X167,0)+IF(Scenario_Select="Scenario 2",'CBA Inputs'!X$171-'CBA Inputs'!X174,0)+IF(Scenario_Select="Scenario 3",'CBA Inputs'!X$178-'CBA Inputs'!X181,0)+IF(Scenario_Select="Scenario 4",'CBA Inputs'!X$185-'CBA Inputs'!X188,0)),0)*Y$31</f>
        <v>-15177073.828493357</v>
      </c>
      <c r="Z117" s="17">
        <f>IFERROR('Option inputs'!$F17*(IF(Scenario_Select="Scenario 1",'CBA Inputs'!Y$164-'CBA Inputs'!Y167,0)+IF(Scenario_Select="Scenario 2",'CBA Inputs'!Y$171-'CBA Inputs'!Y174,0)+IF(Scenario_Select="Scenario 3",'CBA Inputs'!Y$178-'CBA Inputs'!Y181,0)+IF(Scenario_Select="Scenario 4",'CBA Inputs'!Y$185-'CBA Inputs'!Y188,0)),0)*Z$31</f>
        <v>-5101015.512762785</v>
      </c>
      <c r="AA117" s="17">
        <f>IFERROR('Option inputs'!$F17*(IF(Scenario_Select="Scenario 1",'CBA Inputs'!Z$164-'CBA Inputs'!Z167,0)+IF(Scenario_Select="Scenario 2",'CBA Inputs'!Z$171-'CBA Inputs'!Z174,0)+IF(Scenario_Select="Scenario 3",'CBA Inputs'!Z$178-'CBA Inputs'!Z181,0)+IF(Scenario_Select="Scenario 4",'CBA Inputs'!Z$185-'CBA Inputs'!Z188,0)),0)*AA$31</f>
        <v>180196524.56750965</v>
      </c>
      <c r="AB117" s="17">
        <f>IFERROR('Option inputs'!$F17*(IF(Scenario_Select="Scenario 1",'CBA Inputs'!AA$164-'CBA Inputs'!AA167,0)+IF(Scenario_Select="Scenario 2",'CBA Inputs'!AA$171-'CBA Inputs'!AA174,0)+IF(Scenario_Select="Scenario 3",'CBA Inputs'!AA$178-'CBA Inputs'!AA181,0)+IF(Scenario_Select="Scenario 4",'CBA Inputs'!AA$185-'CBA Inputs'!AA188,0)),0)*AB$31</f>
        <v>-115726392.14569998</v>
      </c>
      <c r="AC117" s="17">
        <f>IFERROR('Option inputs'!$F17*(IF(Scenario_Select="Scenario 1",'CBA Inputs'!AB$164-'CBA Inputs'!AB167,0)+IF(Scenario_Select="Scenario 2",'CBA Inputs'!AB$171-'CBA Inputs'!AB174,0)+IF(Scenario_Select="Scenario 3",'CBA Inputs'!AB$178-'CBA Inputs'!AB181,0)+IF(Scenario_Select="Scenario 4",'CBA Inputs'!AB$185-'CBA Inputs'!AB188,0)),0)*AC$31</f>
        <v>24542881.752888083</v>
      </c>
      <c r="AD117" s="17">
        <f>IFERROR('Option inputs'!$F17*(IF(Scenario_Select="Scenario 1",'CBA Inputs'!AC$164-'CBA Inputs'!AC167,0)+IF(Scenario_Select="Scenario 2",'CBA Inputs'!AC$171-'CBA Inputs'!AC174,0)+IF(Scenario_Select="Scenario 3",'CBA Inputs'!AC$178-'CBA Inputs'!AC181,0)+IF(Scenario_Select="Scenario 4",'CBA Inputs'!AC$185-'CBA Inputs'!AC188,0)),0)*AD$31</f>
        <v>12379211.573266149</v>
      </c>
      <c r="AE117" s="17">
        <f>IFERROR('Option inputs'!$F17*(IF(Scenario_Select="Scenario 1",'CBA Inputs'!AD$164-'CBA Inputs'!AD167,0)+IF(Scenario_Select="Scenario 2",'CBA Inputs'!AD$171-'CBA Inputs'!AD174,0)+IF(Scenario_Select="Scenario 3",'CBA Inputs'!AD$178-'CBA Inputs'!AD181,0)+IF(Scenario_Select="Scenario 4",'CBA Inputs'!AD$185-'CBA Inputs'!AD188,0)),0)*AE$31</f>
        <v>-8223070.523182869</v>
      </c>
      <c r="AF117" s="17">
        <f>IFERROR('Option inputs'!$F17*(IF(Scenario_Select="Scenario 1",'CBA Inputs'!AE$164-'CBA Inputs'!AE167,0)+IF(Scenario_Select="Scenario 2",'CBA Inputs'!AE$171-'CBA Inputs'!AE174,0)+IF(Scenario_Select="Scenario 3",'CBA Inputs'!AE$178-'CBA Inputs'!AE181,0)+IF(Scenario_Select="Scenario 4",'CBA Inputs'!AE$185-'CBA Inputs'!AE188,0)),0)*AF$31</f>
        <v>-1953345.6897150278</v>
      </c>
      <c r="AG117" s="17">
        <f>IFERROR('Option inputs'!$F17*(IF(Scenario_Select="Scenario 1",'CBA Inputs'!AF$164-'CBA Inputs'!AF167,0)+IF(Scenario_Select="Scenario 2",'CBA Inputs'!AF$171-'CBA Inputs'!AF174,0)+IF(Scenario_Select="Scenario 3",'CBA Inputs'!AF$178-'CBA Inputs'!AF181,0)+IF(Scenario_Select="Scenario 4",'CBA Inputs'!AF$185-'CBA Inputs'!AF188,0)),0)*AG$31</f>
        <v>0</v>
      </c>
      <c r="AH117" s="17">
        <f>IFERROR('Option inputs'!$F17*(IF(Scenario_Select="Scenario 1",'CBA Inputs'!AG$164-'CBA Inputs'!AG167,0)+IF(Scenario_Select="Scenario 2",'CBA Inputs'!AG$171-'CBA Inputs'!AG174,0)+IF(Scenario_Select="Scenario 3",'CBA Inputs'!AG$178-'CBA Inputs'!AG181,0)+IF(Scenario_Select="Scenario 4",'CBA Inputs'!AG$185-'CBA Inputs'!AG188,0)),0)*AH$31</f>
        <v>0</v>
      </c>
      <c r="AI117" s="17">
        <f>IFERROR('Option inputs'!$F17*(IF(Scenario_Select="Scenario 1",'CBA Inputs'!AH$164-'CBA Inputs'!AH167,0)+IF(Scenario_Select="Scenario 2",'CBA Inputs'!AH$171-'CBA Inputs'!AH174,0)+IF(Scenario_Select="Scenario 3",'CBA Inputs'!AH$178-'CBA Inputs'!AH181,0)+IF(Scenario_Select="Scenario 4",'CBA Inputs'!AH$185-'CBA Inputs'!AH188,0)),0)*AI$31</f>
        <v>0</v>
      </c>
      <c r="AJ117" s="17">
        <f>IFERROR('Option inputs'!$F17*(IF(Scenario_Select="Scenario 1",'CBA Inputs'!AI$164-'CBA Inputs'!AI167,0)+IF(Scenario_Select="Scenario 2",'CBA Inputs'!AI$171-'CBA Inputs'!AI174,0)+IF(Scenario_Select="Scenario 3",'CBA Inputs'!AI$178-'CBA Inputs'!AI181,0)+IF(Scenario_Select="Scenario 4",'CBA Inputs'!AI$185-'CBA Inputs'!AI188,0)),0)*AJ$31</f>
        <v>0</v>
      </c>
    </row>
    <row r="118" spans="2:36" x14ac:dyDescent="0.35">
      <c r="B118" s="9">
        <f>'Option inputs'!B18</f>
        <v>4</v>
      </c>
      <c r="C118" s="14" t="str">
        <f>+'Option inputs'!C18</f>
        <v>Option 1D</v>
      </c>
      <c r="D118" s="25"/>
      <c r="E118" s="12" t="s">
        <v>35</v>
      </c>
      <c r="F118" s="18">
        <f t="shared" si="50"/>
        <v>97069083.216886893</v>
      </c>
      <c r="G118" s="17">
        <f>IFERROR('Option inputs'!$F18*(IF(Scenario_Select="Scenario 1",'CBA Inputs'!F$164-'CBA Inputs'!F168,0)+IF(Scenario_Select="Scenario 2",'CBA Inputs'!F$171-'CBA Inputs'!F175,0)+IF(Scenario_Select="Scenario 3",'CBA Inputs'!F$178-'CBA Inputs'!F182,0)+IF(Scenario_Select="Scenario 4",'CBA Inputs'!F$185-'CBA Inputs'!F189,0)),0)*G$31</f>
        <v>0</v>
      </c>
      <c r="H118" s="17">
        <f>IFERROR('Option inputs'!$F18*(IF(Scenario_Select="Scenario 1",'CBA Inputs'!G$164-'CBA Inputs'!G168,0)+IF(Scenario_Select="Scenario 2",'CBA Inputs'!G$171-'CBA Inputs'!G175,0)+IF(Scenario_Select="Scenario 3",'CBA Inputs'!G$178-'CBA Inputs'!G182,0)+IF(Scenario_Select="Scenario 4",'CBA Inputs'!G$185-'CBA Inputs'!G189,0)),0)*H$31</f>
        <v>309.64816272258759</v>
      </c>
      <c r="I118" s="17">
        <f>IFERROR('Option inputs'!$F18*(IF(Scenario_Select="Scenario 1",'CBA Inputs'!H$164-'CBA Inputs'!H168,0)+IF(Scenario_Select="Scenario 2",'CBA Inputs'!H$171-'CBA Inputs'!H175,0)+IF(Scenario_Select="Scenario 3",'CBA Inputs'!H$178-'CBA Inputs'!H182,0)+IF(Scenario_Select="Scenario 4",'CBA Inputs'!H$185-'CBA Inputs'!H189,0)),0)*I$31</f>
        <v>3909.8042258024216</v>
      </c>
      <c r="J118" s="17">
        <f>IFERROR('Option inputs'!$F18*(IF(Scenario_Select="Scenario 1",'CBA Inputs'!I$164-'CBA Inputs'!I168,0)+IF(Scenario_Select="Scenario 2",'CBA Inputs'!I$171-'CBA Inputs'!I175,0)+IF(Scenario_Select="Scenario 3",'CBA Inputs'!I$178-'CBA Inputs'!I182,0)+IF(Scenario_Select="Scenario 4",'CBA Inputs'!I$185-'CBA Inputs'!I189,0)),0)*J$31</f>
        <v>72629154.669594526</v>
      </c>
      <c r="K118" s="17">
        <f>IFERROR('Option inputs'!$F18*(IF(Scenario_Select="Scenario 1",'CBA Inputs'!J$164-'CBA Inputs'!J168,0)+IF(Scenario_Select="Scenario 2",'CBA Inputs'!J$171-'CBA Inputs'!J175,0)+IF(Scenario_Select="Scenario 3",'CBA Inputs'!J$178-'CBA Inputs'!J182,0)+IF(Scenario_Select="Scenario 4",'CBA Inputs'!J$185-'CBA Inputs'!J189,0)),0)*K$31</f>
        <v>37847177.573509455</v>
      </c>
      <c r="L118" s="17">
        <f>IFERROR('Option inputs'!$F18*(IF(Scenario_Select="Scenario 1",'CBA Inputs'!K$164-'CBA Inputs'!K168,0)+IF(Scenario_Select="Scenario 2",'CBA Inputs'!K$171-'CBA Inputs'!K175,0)+IF(Scenario_Select="Scenario 3",'CBA Inputs'!K$178-'CBA Inputs'!K182,0)+IF(Scenario_Select="Scenario 4",'CBA Inputs'!K$185-'CBA Inputs'!K189,0)),0)*L$31</f>
        <v>-491510.41462624073</v>
      </c>
      <c r="M118" s="17">
        <f>IFERROR('Option inputs'!$F18*(IF(Scenario_Select="Scenario 1",'CBA Inputs'!L$164-'CBA Inputs'!L168,0)+IF(Scenario_Select="Scenario 2",'CBA Inputs'!L$171-'CBA Inputs'!L175,0)+IF(Scenario_Select="Scenario 3",'CBA Inputs'!L$178-'CBA Inputs'!L182,0)+IF(Scenario_Select="Scenario 4",'CBA Inputs'!L$185-'CBA Inputs'!L189,0)),0)*M$31</f>
        <v>6188.1936353445053</v>
      </c>
      <c r="N118" s="17">
        <f>IFERROR('Option inputs'!$F18*(IF(Scenario_Select="Scenario 1",'CBA Inputs'!M$164-'CBA Inputs'!M168,0)+IF(Scenario_Select="Scenario 2",'CBA Inputs'!M$171-'CBA Inputs'!M175,0)+IF(Scenario_Select="Scenario 3",'CBA Inputs'!M$178-'CBA Inputs'!M182,0)+IF(Scenario_Select="Scenario 4",'CBA Inputs'!M$185-'CBA Inputs'!M189,0)),0)*N$31</f>
        <v>533211.16146945953</v>
      </c>
      <c r="O118" s="17">
        <f>IFERROR('Option inputs'!$F18*(IF(Scenario_Select="Scenario 1",'CBA Inputs'!N$164-'CBA Inputs'!N168,0)+IF(Scenario_Select="Scenario 2",'CBA Inputs'!N$171-'CBA Inputs'!N175,0)+IF(Scenario_Select="Scenario 3",'CBA Inputs'!N$178-'CBA Inputs'!N182,0)+IF(Scenario_Select="Scenario 4",'CBA Inputs'!N$185-'CBA Inputs'!N189,0)),0)*O$31</f>
        <v>-1952828.8707261086</v>
      </c>
      <c r="P118" s="17">
        <f>IFERROR('Option inputs'!$F18*(IF(Scenario_Select="Scenario 1",'CBA Inputs'!O$164-'CBA Inputs'!O168,0)+IF(Scenario_Select="Scenario 2",'CBA Inputs'!O$171-'CBA Inputs'!O175,0)+IF(Scenario_Select="Scenario 3",'CBA Inputs'!O$178-'CBA Inputs'!O182,0)+IF(Scenario_Select="Scenario 4",'CBA Inputs'!O$185-'CBA Inputs'!O189,0)),0)*P$31</f>
        <v>58248030.093525887</v>
      </c>
      <c r="Q118" s="17">
        <f>IFERROR('Option inputs'!$F18*(IF(Scenario_Select="Scenario 1",'CBA Inputs'!P$164-'CBA Inputs'!P168,0)+IF(Scenario_Select="Scenario 2",'CBA Inputs'!P$171-'CBA Inputs'!P175,0)+IF(Scenario_Select="Scenario 3",'CBA Inputs'!P$178-'CBA Inputs'!P182,0)+IF(Scenario_Select="Scenario 4",'CBA Inputs'!P$185-'CBA Inputs'!P189,0)),0)*Q$31</f>
        <v>-75736504.559878349</v>
      </c>
      <c r="R118" s="17">
        <f>IFERROR('Option inputs'!$F18*(IF(Scenario_Select="Scenario 1",'CBA Inputs'!Q$164-'CBA Inputs'!Q168,0)+IF(Scenario_Select="Scenario 2",'CBA Inputs'!Q$171-'CBA Inputs'!Q175,0)+IF(Scenario_Select="Scenario 3",'CBA Inputs'!Q$178-'CBA Inputs'!Q182,0)+IF(Scenario_Select="Scenario 4",'CBA Inputs'!Q$185-'CBA Inputs'!Q189,0)),0)*R$31</f>
        <v>413629.90555894375</v>
      </c>
      <c r="S118" s="17">
        <f>IFERROR('Option inputs'!$F18*(IF(Scenario_Select="Scenario 1",'CBA Inputs'!R$164-'CBA Inputs'!R168,0)+IF(Scenario_Select="Scenario 2",'CBA Inputs'!R$171-'CBA Inputs'!R175,0)+IF(Scenario_Select="Scenario 3",'CBA Inputs'!R$178-'CBA Inputs'!R182,0)+IF(Scenario_Select="Scenario 4",'CBA Inputs'!R$185-'CBA Inputs'!R189,0)),0)*S$31</f>
        <v>93252810.091474533</v>
      </c>
      <c r="T118" s="17">
        <f>IFERROR('Option inputs'!$F18*(IF(Scenario_Select="Scenario 1",'CBA Inputs'!S$164-'CBA Inputs'!S168,0)+IF(Scenario_Select="Scenario 2",'CBA Inputs'!S$171-'CBA Inputs'!S175,0)+IF(Scenario_Select="Scenario 3",'CBA Inputs'!S$178-'CBA Inputs'!S182,0)+IF(Scenario_Select="Scenario 4",'CBA Inputs'!S$185-'CBA Inputs'!S189,0)),0)*T$31</f>
        <v>-14669314.157997131</v>
      </c>
      <c r="U118" s="17">
        <f>IFERROR('Option inputs'!$F18*(IF(Scenario_Select="Scenario 1",'CBA Inputs'!T$164-'CBA Inputs'!T168,0)+IF(Scenario_Select="Scenario 2",'CBA Inputs'!T$171-'CBA Inputs'!T175,0)+IF(Scenario_Select="Scenario 3",'CBA Inputs'!T$178-'CBA Inputs'!T182,0)+IF(Scenario_Select="Scenario 4",'CBA Inputs'!T$185-'CBA Inputs'!T189,0)),0)*U$31</f>
        <v>-15685531.675666332</v>
      </c>
      <c r="V118" s="17">
        <f>IFERROR('Option inputs'!$F18*(IF(Scenario_Select="Scenario 1",'CBA Inputs'!U$164-'CBA Inputs'!U168,0)+IF(Scenario_Select="Scenario 2",'CBA Inputs'!U$171-'CBA Inputs'!U175,0)+IF(Scenario_Select="Scenario 3",'CBA Inputs'!U$178-'CBA Inputs'!U182,0)+IF(Scenario_Select="Scenario 4",'CBA Inputs'!U$185-'CBA Inputs'!U189,0)),0)*V$31</f>
        <v>12336846.063528299</v>
      </c>
      <c r="W118" s="17">
        <f>IFERROR('Option inputs'!$F18*(IF(Scenario_Select="Scenario 1",'CBA Inputs'!V$164-'CBA Inputs'!V168,0)+IF(Scenario_Select="Scenario 2",'CBA Inputs'!V$171-'CBA Inputs'!V175,0)+IF(Scenario_Select="Scenario 3",'CBA Inputs'!V$178-'CBA Inputs'!V182,0)+IF(Scenario_Select="Scenario 4",'CBA Inputs'!V$185-'CBA Inputs'!V189,0)),0)*W$31</f>
        <v>37407823.9880867</v>
      </c>
      <c r="X118" s="17">
        <f>IFERROR('Option inputs'!$F18*(IF(Scenario_Select="Scenario 1",'CBA Inputs'!W$164-'CBA Inputs'!W168,0)+IF(Scenario_Select="Scenario 2",'CBA Inputs'!W$171-'CBA Inputs'!W175,0)+IF(Scenario_Select="Scenario 3",'CBA Inputs'!W$178-'CBA Inputs'!W182,0)+IF(Scenario_Select="Scenario 4",'CBA Inputs'!W$185-'CBA Inputs'!W189,0)),0)*X$31</f>
        <v>-120079045.7722621</v>
      </c>
      <c r="Y118" s="17">
        <f>IFERROR('Option inputs'!$F18*(IF(Scenario_Select="Scenario 1",'CBA Inputs'!X$164-'CBA Inputs'!X168,0)+IF(Scenario_Select="Scenario 2",'CBA Inputs'!X$171-'CBA Inputs'!X175,0)+IF(Scenario_Select="Scenario 3",'CBA Inputs'!X$178-'CBA Inputs'!X182,0)+IF(Scenario_Select="Scenario 4",'CBA Inputs'!X$185-'CBA Inputs'!X189,0)),0)*Y$31</f>
        <v>-3368463.6403045654</v>
      </c>
      <c r="Z118" s="17">
        <f>IFERROR('Option inputs'!$F18*(IF(Scenario_Select="Scenario 1",'CBA Inputs'!Y$164-'CBA Inputs'!Y168,0)+IF(Scenario_Select="Scenario 2",'CBA Inputs'!Y$171-'CBA Inputs'!Y175,0)+IF(Scenario_Select="Scenario 3",'CBA Inputs'!Y$178-'CBA Inputs'!Y182,0)+IF(Scenario_Select="Scenario 4",'CBA Inputs'!Y$185-'CBA Inputs'!Y189,0)),0)*Z$31</f>
        <v>-3776610.0652067661</v>
      </c>
      <c r="AA118" s="17">
        <f>IFERROR('Option inputs'!$F18*(IF(Scenario_Select="Scenario 1",'CBA Inputs'!Z$164-'CBA Inputs'!Z168,0)+IF(Scenario_Select="Scenario 2",'CBA Inputs'!Z$171-'CBA Inputs'!Z175,0)+IF(Scenario_Select="Scenario 3",'CBA Inputs'!Z$178-'CBA Inputs'!Z182,0)+IF(Scenario_Select="Scenario 4",'CBA Inputs'!Z$185-'CBA Inputs'!Z189,0)),0)*AA$31</f>
        <v>55595344.725241184</v>
      </c>
      <c r="AB118" s="17">
        <f>IFERROR('Option inputs'!$F18*(IF(Scenario_Select="Scenario 1",'CBA Inputs'!AA$164-'CBA Inputs'!AA168,0)+IF(Scenario_Select="Scenario 2",'CBA Inputs'!AA$171-'CBA Inputs'!AA175,0)+IF(Scenario_Select="Scenario 3",'CBA Inputs'!AA$178-'CBA Inputs'!AA182,0)+IF(Scenario_Select="Scenario 4",'CBA Inputs'!AA$185-'CBA Inputs'!AA189,0)),0)*AB$31</f>
        <v>-50839554.38020134</v>
      </c>
      <c r="AC118" s="17">
        <f>IFERROR('Option inputs'!$F18*(IF(Scenario_Select="Scenario 1",'CBA Inputs'!AB$164-'CBA Inputs'!AB168,0)+IF(Scenario_Select="Scenario 2",'CBA Inputs'!AB$171-'CBA Inputs'!AB175,0)+IF(Scenario_Select="Scenario 3",'CBA Inputs'!AB$178-'CBA Inputs'!AB182,0)+IF(Scenario_Select="Scenario 4",'CBA Inputs'!AB$185-'CBA Inputs'!AB189,0)),0)*AC$31</f>
        <v>5775653.1189908981</v>
      </c>
      <c r="AD118" s="17">
        <f>IFERROR('Option inputs'!$F18*(IF(Scenario_Select="Scenario 1",'CBA Inputs'!AC$164-'CBA Inputs'!AC168,0)+IF(Scenario_Select="Scenario 2",'CBA Inputs'!AC$171-'CBA Inputs'!AC175,0)+IF(Scenario_Select="Scenario 3",'CBA Inputs'!AC$178-'CBA Inputs'!AC182,0)+IF(Scenario_Select="Scenario 4",'CBA Inputs'!AC$185-'CBA Inputs'!AC189,0)),0)*AD$31</f>
        <v>-2465426.7933007479</v>
      </c>
      <c r="AE118" s="17">
        <f>IFERROR('Option inputs'!$F18*(IF(Scenario_Select="Scenario 1",'CBA Inputs'!AD$164-'CBA Inputs'!AD168,0)+IF(Scenario_Select="Scenario 2",'CBA Inputs'!AD$171-'CBA Inputs'!AD175,0)+IF(Scenario_Select="Scenario 3",'CBA Inputs'!AD$178-'CBA Inputs'!AD182,0)+IF(Scenario_Select="Scenario 4",'CBA Inputs'!AD$185-'CBA Inputs'!AD189,0)),0)*AE$31</f>
        <v>5866173.7085323334</v>
      </c>
      <c r="AF118" s="17">
        <f>IFERROR('Option inputs'!$F18*(IF(Scenario_Select="Scenario 1",'CBA Inputs'!AE$164-'CBA Inputs'!AE168,0)+IF(Scenario_Select="Scenario 2",'CBA Inputs'!AE$171-'CBA Inputs'!AE175,0)+IF(Scenario_Select="Scenario 3",'CBA Inputs'!AE$178-'CBA Inputs'!AE182,0)+IF(Scenario_Select="Scenario 4",'CBA Inputs'!AE$185-'CBA Inputs'!AE189,0)),0)*AF$31</f>
        <v>-3268475.0958052874</v>
      </c>
      <c r="AG118" s="17">
        <f>IFERROR('Option inputs'!$F18*(IF(Scenario_Select="Scenario 1",'CBA Inputs'!AF$164-'CBA Inputs'!AF168,0)+IF(Scenario_Select="Scenario 2",'CBA Inputs'!AF$171-'CBA Inputs'!AF175,0)+IF(Scenario_Select="Scenario 3",'CBA Inputs'!AF$178-'CBA Inputs'!AF182,0)+IF(Scenario_Select="Scenario 4",'CBA Inputs'!AF$185-'CBA Inputs'!AF189,0)),0)*AG$31</f>
        <v>0</v>
      </c>
      <c r="AH118" s="17">
        <f>IFERROR('Option inputs'!$F18*(IF(Scenario_Select="Scenario 1",'CBA Inputs'!AG$164-'CBA Inputs'!AG168,0)+IF(Scenario_Select="Scenario 2",'CBA Inputs'!AG$171-'CBA Inputs'!AG175,0)+IF(Scenario_Select="Scenario 3",'CBA Inputs'!AG$178-'CBA Inputs'!AG182,0)+IF(Scenario_Select="Scenario 4",'CBA Inputs'!AG$185-'CBA Inputs'!AG189,0)),0)*AH$31</f>
        <v>0</v>
      </c>
      <c r="AI118" s="17">
        <f>IFERROR('Option inputs'!$F18*(IF(Scenario_Select="Scenario 1",'CBA Inputs'!AH$164-'CBA Inputs'!AH168,0)+IF(Scenario_Select="Scenario 2",'CBA Inputs'!AH$171-'CBA Inputs'!AH175,0)+IF(Scenario_Select="Scenario 3",'CBA Inputs'!AH$178-'CBA Inputs'!AH182,0)+IF(Scenario_Select="Scenario 4",'CBA Inputs'!AH$185-'CBA Inputs'!AH189,0)),0)*AI$31</f>
        <v>0</v>
      </c>
      <c r="AJ118" s="17">
        <f>IFERROR('Option inputs'!$F18*(IF(Scenario_Select="Scenario 1",'CBA Inputs'!AI$164-'CBA Inputs'!AI168,0)+IF(Scenario_Select="Scenario 2",'CBA Inputs'!AI$171-'CBA Inputs'!AI175,0)+IF(Scenario_Select="Scenario 3",'CBA Inputs'!AI$178-'CBA Inputs'!AI182,0)+IF(Scenario_Select="Scenario 4",'CBA Inputs'!AI$185-'CBA Inputs'!AI189,0)),0)*AJ$31</f>
        <v>0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984B2-DA93-46C1-8ABA-AC4EE7F51EB8}">
  <sheetPr codeName="Sheet9">
    <tabColor theme="4"/>
  </sheetPr>
  <dimension ref="B1:AH154"/>
  <sheetViews>
    <sheetView showGridLines="0" zoomScale="80" zoomScaleNormal="80" workbookViewId="0">
      <selection activeCell="H7" sqref="H7"/>
    </sheetView>
  </sheetViews>
  <sheetFormatPr defaultColWidth="9.23046875" defaultRowHeight="12.5" x14ac:dyDescent="0.25"/>
  <cols>
    <col min="1" max="1" width="5.69140625" style="101" customWidth="1"/>
    <col min="2" max="2" width="34.4609375" style="101" bestFit="1" customWidth="1"/>
    <col min="3" max="34" width="12.69140625" style="101" customWidth="1"/>
    <col min="35" max="16384" width="9.23046875" style="101"/>
  </cols>
  <sheetData>
    <row r="1" spans="2:34" ht="18" x14ac:dyDescent="0.4">
      <c r="B1" s="3" t="str">
        <f ca="1">MID(CELL("filename",B2),FIND("]",CELL("filename",B2))+1,256)</f>
        <v>Weighted calculations</v>
      </c>
      <c r="C1" s="3"/>
    </row>
    <row r="2" spans="2:34" ht="15.5" x14ac:dyDescent="0.35">
      <c r="B2" s="4" t="s">
        <v>110</v>
      </c>
      <c r="C2" s="4"/>
    </row>
    <row r="4" spans="2:34" ht="13" x14ac:dyDescent="0.3"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157"/>
    </row>
    <row r="6" spans="2:34" ht="13" x14ac:dyDescent="0.3">
      <c r="B6" s="113" t="s">
        <v>38</v>
      </c>
      <c r="C6" s="158" t="s">
        <v>22</v>
      </c>
      <c r="D6" s="120" t="s">
        <v>93</v>
      </c>
      <c r="E6" s="120" t="s">
        <v>133</v>
      </c>
      <c r="F6" s="120" t="s">
        <v>86</v>
      </c>
      <c r="G6" s="120" t="s">
        <v>87</v>
      </c>
      <c r="H6" s="120" t="s">
        <v>97</v>
      </c>
    </row>
    <row r="7" spans="2:34" x14ac:dyDescent="0.25">
      <c r="B7" s="114" t="str">
        <f>'Option inputs'!$C$15</f>
        <v>Option 1A</v>
      </c>
      <c r="C7" s="163" t="s">
        <v>35</v>
      </c>
      <c r="D7" s="121">
        <f>SUMIF($B$20:$B$61,$B7,$D$20:$D$61)</f>
        <v>188344788.98592162</v>
      </c>
      <c r="E7" s="121">
        <f>+SUMIF($B$64:$B$92,$B7,$D$64:$D$92)+SUMIF($B$20:$B$30,$B7,$D$20:$D$30)</f>
        <v>191252830.53965342</v>
      </c>
      <c r="F7" s="121">
        <f>+SUMIF($B$95:$B$123,$B7,$D$95:$D$123)+SUMIF($B$20:$B$30,$B7,$D$20:$D$30)</f>
        <v>37427246.474832594</v>
      </c>
      <c r="G7" s="121">
        <f>+SUMIF($B$126:$B$154,$B7,$D$126:$D$154)+SUMIF($B$20:$B$30,$B7,$D$20:$D$30)</f>
        <v>266410059.465276</v>
      </c>
      <c r="H7" s="162">
        <f>SUMPRODUCT($D7:$G7,'Interface and charts'!$I$8:$L$8)</f>
        <v>170858731.36642092</v>
      </c>
      <c r="M7" s="102"/>
      <c r="O7" s="102"/>
      <c r="P7" s="102"/>
      <c r="Q7" s="102"/>
      <c r="R7" s="102"/>
    </row>
    <row r="8" spans="2:34" x14ac:dyDescent="0.25">
      <c r="B8" s="114" t="str">
        <f>'Option inputs'!$C$16</f>
        <v>Option 1B</v>
      </c>
      <c r="C8" s="163" t="s">
        <v>35</v>
      </c>
      <c r="D8" s="121">
        <f>SUMIF($B$20:$B$61,$B8,$D$20:$D$61)</f>
        <v>153906120.98581284</v>
      </c>
      <c r="E8" s="121">
        <f>+SUMIF($B$64:$B$92,$B8,$D$64:$D$92)+SUMIF($B$20:$B$30,$B8,$D$20:$D$30)</f>
        <v>209856460.60739988</v>
      </c>
      <c r="F8" s="121">
        <f>+SUMIF($B$95:$B$123,$B8,$D$95:$D$123)+SUMIF($B$20:$B$30,$B8,$D$20:$D$30)</f>
        <v>36494676.119251065</v>
      </c>
      <c r="G8" s="121">
        <f>+SUMIF($B$126:$B$154,$B8,$D$126:$D$154)+SUMIF($B$20:$B$30,$B8,$D$20:$D$30)</f>
        <v>267785321.17315048</v>
      </c>
      <c r="H8" s="162">
        <f>SUMPRODUCT($D8:$G8,'Interface and charts'!$I$8:$L$8)</f>
        <v>167010644.72140357</v>
      </c>
      <c r="M8" s="102"/>
      <c r="O8" s="102"/>
      <c r="P8" s="102"/>
      <c r="Q8" s="102"/>
      <c r="R8" s="102"/>
    </row>
    <row r="9" spans="2:34" x14ac:dyDescent="0.25">
      <c r="B9" s="114" t="str">
        <f>'Option inputs'!$C$17</f>
        <v>Option 1C</v>
      </c>
      <c r="C9" s="163" t="s">
        <v>35</v>
      </c>
      <c r="D9" s="121">
        <f>SUMIF($B$20:$B$61,$B9,$D$20:$D$61)</f>
        <v>-23792159.192626655</v>
      </c>
      <c r="E9" s="121">
        <f>+SUMIF($B$64:$B$92,$B9,$D$64:$D$92)+SUMIF($B$20:$B$30,$B9,$D$20:$D$30)</f>
        <v>-80164015.06324999</v>
      </c>
      <c r="F9" s="121">
        <f>+SUMIF($B$95:$B$123,$B9,$D$95:$D$123)+SUMIF($B$20:$B$30,$B9,$D$20:$D$30)</f>
        <v>-9736097.5386485159</v>
      </c>
      <c r="G9" s="121">
        <f>+SUMIF($B$126:$B$154,$B9,$D$126:$D$154)+SUMIF($B$20:$B$30,$B9,$D$20:$D$30)</f>
        <v>-61200207.960185111</v>
      </c>
      <c r="H9" s="162">
        <f>SUMPRODUCT($D9:$G9,'Interface and charts'!$I$8:$L$8)</f>
        <v>-43723119.938677564</v>
      </c>
      <c r="M9" s="102"/>
      <c r="O9" s="102"/>
      <c r="P9" s="102"/>
      <c r="Q9" s="102"/>
      <c r="R9" s="102"/>
    </row>
    <row r="10" spans="2:34" x14ac:dyDescent="0.25">
      <c r="B10" s="114" t="str">
        <f>'Option inputs'!$C$18</f>
        <v>Option 1D</v>
      </c>
      <c r="C10" s="163" t="s">
        <v>35</v>
      </c>
      <c r="D10" s="121">
        <f>SUMIF($B$20:$B$61,$B10,$D$20:$D$61)</f>
        <v>46203541.531039767</v>
      </c>
      <c r="E10" s="121">
        <f>+SUMIF($B$64:$B$92,$B10,$D$64:$D$92)+SUMIF($B$20:$B$30,$B10,$D$20:$D$30)</f>
        <v>6830587.9820938259</v>
      </c>
      <c r="F10" s="121">
        <f>+SUMIF($B$95:$B$123,$B10,$D$95:$D$123)+SUMIF($B$20:$B$30,$B10,$D$20:$D$30)</f>
        <v>67545273.241129458</v>
      </c>
      <c r="G10" s="121">
        <f>+SUMIF($B$126:$B$154,$B10,$D$126:$D$154)+SUMIF($B$20:$B$30,$B10,$D$20:$D$30)</f>
        <v>15309824.596625477</v>
      </c>
      <c r="H10" s="162">
        <f>SUMPRODUCT($D10:$G10,'Interface and charts'!$I$8:$L$8)</f>
        <v>33972306.83772213</v>
      </c>
      <c r="M10" s="102"/>
      <c r="O10" s="102"/>
      <c r="P10" s="102"/>
      <c r="Q10" s="102"/>
      <c r="R10" s="102"/>
    </row>
    <row r="12" spans="2:34" ht="13" x14ac:dyDescent="0.3">
      <c r="B12" s="165" t="s">
        <v>119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</row>
    <row r="13" spans="2:34" x14ac:dyDescent="0.25">
      <c r="B13" s="114" t="s">
        <v>124</v>
      </c>
      <c r="C13" s="114"/>
      <c r="D13" s="114"/>
      <c r="E13" s="166">
        <v>1</v>
      </c>
      <c r="F13" s="166">
        <f>E13+1</f>
        <v>2</v>
      </c>
      <c r="G13" s="166">
        <f t="shared" ref="G13:AH13" si="0">F13+1</f>
        <v>3</v>
      </c>
      <c r="H13" s="166">
        <f t="shared" si="0"/>
        <v>4</v>
      </c>
      <c r="I13" s="166">
        <f t="shared" si="0"/>
        <v>5</v>
      </c>
      <c r="J13" s="166">
        <f t="shared" si="0"/>
        <v>6</v>
      </c>
      <c r="K13" s="166">
        <f t="shared" si="0"/>
        <v>7</v>
      </c>
      <c r="L13" s="166">
        <f t="shared" si="0"/>
        <v>8</v>
      </c>
      <c r="M13" s="166">
        <f t="shared" si="0"/>
        <v>9</v>
      </c>
      <c r="N13" s="166">
        <f t="shared" si="0"/>
        <v>10</v>
      </c>
      <c r="O13" s="166">
        <f t="shared" si="0"/>
        <v>11</v>
      </c>
      <c r="P13" s="166">
        <f t="shared" si="0"/>
        <v>12</v>
      </c>
      <c r="Q13" s="166">
        <f t="shared" si="0"/>
        <v>13</v>
      </c>
      <c r="R13" s="166">
        <f t="shared" si="0"/>
        <v>14</v>
      </c>
      <c r="S13" s="166">
        <f t="shared" si="0"/>
        <v>15</v>
      </c>
      <c r="T13" s="166">
        <f t="shared" si="0"/>
        <v>16</v>
      </c>
      <c r="U13" s="166">
        <f t="shared" si="0"/>
        <v>17</v>
      </c>
      <c r="V13" s="166">
        <f t="shared" si="0"/>
        <v>18</v>
      </c>
      <c r="W13" s="166">
        <f t="shared" si="0"/>
        <v>19</v>
      </c>
      <c r="X13" s="166">
        <f t="shared" si="0"/>
        <v>20</v>
      </c>
      <c r="Y13" s="166">
        <f t="shared" si="0"/>
        <v>21</v>
      </c>
      <c r="Z13" s="166">
        <f t="shared" si="0"/>
        <v>22</v>
      </c>
      <c r="AA13" s="166">
        <f t="shared" si="0"/>
        <v>23</v>
      </c>
      <c r="AB13" s="166">
        <f t="shared" si="0"/>
        <v>24</v>
      </c>
      <c r="AC13" s="166">
        <f t="shared" si="0"/>
        <v>25</v>
      </c>
      <c r="AD13" s="166">
        <f t="shared" si="0"/>
        <v>26</v>
      </c>
      <c r="AE13" s="166">
        <f t="shared" si="0"/>
        <v>27</v>
      </c>
      <c r="AF13" s="166">
        <f t="shared" si="0"/>
        <v>28</v>
      </c>
      <c r="AG13" s="166">
        <f t="shared" si="0"/>
        <v>29</v>
      </c>
      <c r="AH13" s="166">
        <f t="shared" si="0"/>
        <v>30</v>
      </c>
    </row>
    <row r="14" spans="2:34" x14ac:dyDescent="0.25">
      <c r="B14" s="114" t="s">
        <v>125</v>
      </c>
      <c r="C14" s="114"/>
      <c r="D14" s="114"/>
      <c r="E14" s="166">
        <f t="shared" ref="E14:AH14" si="1">IF(E13&gt;AnalysisPeriod,0,1)</f>
        <v>1</v>
      </c>
      <c r="F14" s="166">
        <f t="shared" si="1"/>
        <v>1</v>
      </c>
      <c r="G14" s="166">
        <f t="shared" si="1"/>
        <v>1</v>
      </c>
      <c r="H14" s="166">
        <f t="shared" si="1"/>
        <v>1</v>
      </c>
      <c r="I14" s="166">
        <f t="shared" si="1"/>
        <v>1</v>
      </c>
      <c r="J14" s="166">
        <f t="shared" si="1"/>
        <v>1</v>
      </c>
      <c r="K14" s="166">
        <f t="shared" si="1"/>
        <v>1</v>
      </c>
      <c r="L14" s="166">
        <f t="shared" si="1"/>
        <v>1</v>
      </c>
      <c r="M14" s="166">
        <f t="shared" si="1"/>
        <v>1</v>
      </c>
      <c r="N14" s="166">
        <f t="shared" si="1"/>
        <v>1</v>
      </c>
      <c r="O14" s="166">
        <f t="shared" si="1"/>
        <v>1</v>
      </c>
      <c r="P14" s="166">
        <f t="shared" si="1"/>
        <v>1</v>
      </c>
      <c r="Q14" s="166">
        <f t="shared" si="1"/>
        <v>1</v>
      </c>
      <c r="R14" s="166">
        <f t="shared" si="1"/>
        <v>1</v>
      </c>
      <c r="S14" s="166">
        <f t="shared" si="1"/>
        <v>1</v>
      </c>
      <c r="T14" s="166">
        <f t="shared" si="1"/>
        <v>1</v>
      </c>
      <c r="U14" s="166">
        <f t="shared" si="1"/>
        <v>1</v>
      </c>
      <c r="V14" s="166">
        <f t="shared" si="1"/>
        <v>1</v>
      </c>
      <c r="W14" s="166">
        <f t="shared" si="1"/>
        <v>1</v>
      </c>
      <c r="X14" s="166">
        <f t="shared" si="1"/>
        <v>1</v>
      </c>
      <c r="Y14" s="166">
        <f t="shared" si="1"/>
        <v>1</v>
      </c>
      <c r="Z14" s="166">
        <f t="shared" si="1"/>
        <v>1</v>
      </c>
      <c r="AA14" s="166">
        <f t="shared" si="1"/>
        <v>1</v>
      </c>
      <c r="AB14" s="166">
        <f t="shared" si="1"/>
        <v>1</v>
      </c>
      <c r="AC14" s="166">
        <f t="shared" si="1"/>
        <v>1</v>
      </c>
      <c r="AD14" s="166">
        <f t="shared" si="1"/>
        <v>1</v>
      </c>
      <c r="AE14" s="166">
        <f t="shared" si="1"/>
        <v>0</v>
      </c>
      <c r="AF14" s="166">
        <f t="shared" si="1"/>
        <v>0</v>
      </c>
      <c r="AG14" s="166">
        <f t="shared" si="1"/>
        <v>0</v>
      </c>
      <c r="AH14" s="166">
        <f t="shared" si="1"/>
        <v>0</v>
      </c>
    </row>
    <row r="15" spans="2:34" x14ac:dyDescent="0.25">
      <c r="B15" s="114" t="s">
        <v>123</v>
      </c>
      <c r="C15" s="114"/>
      <c r="D15" s="114"/>
      <c r="E15" s="166" t="str">
        <f>"FY "&amp;E17-1&amp;"-"&amp;RIGHT(E17,2)</f>
        <v>FY 2019-20</v>
      </c>
      <c r="F15" s="166" t="str">
        <f t="shared" ref="F15:AH15" si="2">"FY "&amp;F17-1&amp;"-"&amp;RIGHT(F17,2)</f>
        <v>FY 2020-21</v>
      </c>
      <c r="G15" s="166" t="str">
        <f t="shared" si="2"/>
        <v>FY 2021-22</v>
      </c>
      <c r="H15" s="166" t="str">
        <f t="shared" si="2"/>
        <v>FY 2022-23</v>
      </c>
      <c r="I15" s="166" t="str">
        <f t="shared" si="2"/>
        <v>FY 2023-24</v>
      </c>
      <c r="J15" s="166" t="str">
        <f t="shared" si="2"/>
        <v>FY 2024-25</v>
      </c>
      <c r="K15" s="166" t="str">
        <f t="shared" si="2"/>
        <v>FY 2025-26</v>
      </c>
      <c r="L15" s="166" t="str">
        <f t="shared" si="2"/>
        <v>FY 2026-27</v>
      </c>
      <c r="M15" s="166" t="str">
        <f t="shared" si="2"/>
        <v>FY 2027-28</v>
      </c>
      <c r="N15" s="166" t="str">
        <f t="shared" si="2"/>
        <v>FY 2028-29</v>
      </c>
      <c r="O15" s="166" t="str">
        <f t="shared" si="2"/>
        <v>FY 2029-30</v>
      </c>
      <c r="P15" s="166" t="str">
        <f t="shared" si="2"/>
        <v>FY 2030-31</v>
      </c>
      <c r="Q15" s="166" t="str">
        <f t="shared" si="2"/>
        <v>FY 2031-32</v>
      </c>
      <c r="R15" s="166" t="str">
        <f t="shared" si="2"/>
        <v>FY 2032-33</v>
      </c>
      <c r="S15" s="166" t="str">
        <f t="shared" si="2"/>
        <v>FY 2033-34</v>
      </c>
      <c r="T15" s="166" t="str">
        <f t="shared" si="2"/>
        <v>FY 2034-35</v>
      </c>
      <c r="U15" s="166" t="str">
        <f t="shared" si="2"/>
        <v>FY 2035-36</v>
      </c>
      <c r="V15" s="166" t="str">
        <f t="shared" si="2"/>
        <v>FY 2036-37</v>
      </c>
      <c r="W15" s="166" t="str">
        <f t="shared" si="2"/>
        <v>FY 2037-38</v>
      </c>
      <c r="X15" s="166" t="str">
        <f t="shared" si="2"/>
        <v>FY 2038-39</v>
      </c>
      <c r="Y15" s="166" t="str">
        <f t="shared" si="2"/>
        <v>FY 2039-40</v>
      </c>
      <c r="Z15" s="166" t="str">
        <f t="shared" si="2"/>
        <v>FY 2040-41</v>
      </c>
      <c r="AA15" s="166" t="str">
        <f t="shared" si="2"/>
        <v>FY 2041-42</v>
      </c>
      <c r="AB15" s="166" t="str">
        <f t="shared" si="2"/>
        <v>FY 2042-43</v>
      </c>
      <c r="AC15" s="166" t="str">
        <f t="shared" si="2"/>
        <v>FY 2043-44</v>
      </c>
      <c r="AD15" s="166" t="str">
        <f t="shared" si="2"/>
        <v>FY 2044-45</v>
      </c>
      <c r="AE15" s="166" t="str">
        <f t="shared" si="2"/>
        <v>FY 2045-46</v>
      </c>
      <c r="AF15" s="166" t="str">
        <f t="shared" si="2"/>
        <v>FY 2046-47</v>
      </c>
      <c r="AG15" s="166" t="str">
        <f t="shared" si="2"/>
        <v>FY 2047-48</v>
      </c>
      <c r="AH15" s="166" t="str">
        <f t="shared" si="2"/>
        <v>FY 2048-49</v>
      </c>
    </row>
    <row r="16" spans="2:34" x14ac:dyDescent="0.25">
      <c r="B16" s="114" t="s">
        <v>122</v>
      </c>
      <c r="C16" s="114"/>
      <c r="D16" s="114"/>
      <c r="E16" s="166" t="str">
        <f>E17-1&amp;"-"&amp;RIGHT(E17,2)</f>
        <v>2019-20</v>
      </c>
      <c r="F16" s="166" t="str">
        <f t="shared" ref="F16:AH16" si="3">F17-1&amp;"-"&amp;RIGHT(F17,2)</f>
        <v>2020-21</v>
      </c>
      <c r="G16" s="166" t="str">
        <f t="shared" si="3"/>
        <v>2021-22</v>
      </c>
      <c r="H16" s="166" t="str">
        <f t="shared" si="3"/>
        <v>2022-23</v>
      </c>
      <c r="I16" s="166" t="str">
        <f t="shared" si="3"/>
        <v>2023-24</v>
      </c>
      <c r="J16" s="166" t="str">
        <f t="shared" si="3"/>
        <v>2024-25</v>
      </c>
      <c r="K16" s="166" t="str">
        <f t="shared" si="3"/>
        <v>2025-26</v>
      </c>
      <c r="L16" s="166" t="str">
        <f t="shared" si="3"/>
        <v>2026-27</v>
      </c>
      <c r="M16" s="166" t="str">
        <f t="shared" si="3"/>
        <v>2027-28</v>
      </c>
      <c r="N16" s="166" t="str">
        <f t="shared" si="3"/>
        <v>2028-29</v>
      </c>
      <c r="O16" s="166" t="str">
        <f t="shared" si="3"/>
        <v>2029-30</v>
      </c>
      <c r="P16" s="166" t="str">
        <f t="shared" si="3"/>
        <v>2030-31</v>
      </c>
      <c r="Q16" s="166" t="str">
        <f t="shared" si="3"/>
        <v>2031-32</v>
      </c>
      <c r="R16" s="166" t="str">
        <f t="shared" si="3"/>
        <v>2032-33</v>
      </c>
      <c r="S16" s="166" t="str">
        <f t="shared" si="3"/>
        <v>2033-34</v>
      </c>
      <c r="T16" s="166" t="str">
        <f t="shared" si="3"/>
        <v>2034-35</v>
      </c>
      <c r="U16" s="166" t="str">
        <f t="shared" si="3"/>
        <v>2035-36</v>
      </c>
      <c r="V16" s="166" t="str">
        <f t="shared" si="3"/>
        <v>2036-37</v>
      </c>
      <c r="W16" s="166" t="str">
        <f t="shared" si="3"/>
        <v>2037-38</v>
      </c>
      <c r="X16" s="166" t="str">
        <f t="shared" si="3"/>
        <v>2038-39</v>
      </c>
      <c r="Y16" s="166" t="str">
        <f t="shared" si="3"/>
        <v>2039-40</v>
      </c>
      <c r="Z16" s="166" t="str">
        <f t="shared" si="3"/>
        <v>2040-41</v>
      </c>
      <c r="AA16" s="166" t="str">
        <f t="shared" si="3"/>
        <v>2041-42</v>
      </c>
      <c r="AB16" s="166" t="str">
        <f t="shared" si="3"/>
        <v>2042-43</v>
      </c>
      <c r="AC16" s="166" t="str">
        <f t="shared" si="3"/>
        <v>2043-44</v>
      </c>
      <c r="AD16" s="166" t="str">
        <f t="shared" si="3"/>
        <v>2044-45</v>
      </c>
      <c r="AE16" s="166" t="str">
        <f t="shared" si="3"/>
        <v>2045-46</v>
      </c>
      <c r="AF16" s="166" t="str">
        <f t="shared" si="3"/>
        <v>2046-47</v>
      </c>
      <c r="AG16" s="166" t="str">
        <f t="shared" si="3"/>
        <v>2047-48</v>
      </c>
      <c r="AH16" s="166" t="str">
        <f t="shared" si="3"/>
        <v>2048-49</v>
      </c>
    </row>
    <row r="17" spans="2:34" x14ac:dyDescent="0.25">
      <c r="B17" s="114" t="s">
        <v>118</v>
      </c>
      <c r="C17" s="114"/>
      <c r="D17" s="114"/>
      <c r="E17" s="166">
        <f>FirstYear</f>
        <v>2020</v>
      </c>
      <c r="F17" s="166">
        <f>E17+1</f>
        <v>2021</v>
      </c>
      <c r="G17" s="166">
        <f t="shared" ref="G17:AH17" si="4">F17+1</f>
        <v>2022</v>
      </c>
      <c r="H17" s="166">
        <f t="shared" si="4"/>
        <v>2023</v>
      </c>
      <c r="I17" s="166">
        <f t="shared" si="4"/>
        <v>2024</v>
      </c>
      <c r="J17" s="166">
        <f t="shared" si="4"/>
        <v>2025</v>
      </c>
      <c r="K17" s="166">
        <f t="shared" si="4"/>
        <v>2026</v>
      </c>
      <c r="L17" s="166">
        <f t="shared" si="4"/>
        <v>2027</v>
      </c>
      <c r="M17" s="166">
        <f t="shared" si="4"/>
        <v>2028</v>
      </c>
      <c r="N17" s="166">
        <f t="shared" si="4"/>
        <v>2029</v>
      </c>
      <c r="O17" s="166">
        <f t="shared" si="4"/>
        <v>2030</v>
      </c>
      <c r="P17" s="166">
        <f t="shared" si="4"/>
        <v>2031</v>
      </c>
      <c r="Q17" s="166">
        <f t="shared" si="4"/>
        <v>2032</v>
      </c>
      <c r="R17" s="166">
        <f t="shared" si="4"/>
        <v>2033</v>
      </c>
      <c r="S17" s="166">
        <f t="shared" si="4"/>
        <v>2034</v>
      </c>
      <c r="T17" s="166">
        <f t="shared" si="4"/>
        <v>2035</v>
      </c>
      <c r="U17" s="166">
        <f t="shared" si="4"/>
        <v>2036</v>
      </c>
      <c r="V17" s="166">
        <f t="shared" si="4"/>
        <v>2037</v>
      </c>
      <c r="W17" s="166">
        <f t="shared" si="4"/>
        <v>2038</v>
      </c>
      <c r="X17" s="166">
        <f t="shared" si="4"/>
        <v>2039</v>
      </c>
      <c r="Y17" s="166">
        <f t="shared" si="4"/>
        <v>2040</v>
      </c>
      <c r="Z17" s="166">
        <f t="shared" si="4"/>
        <v>2041</v>
      </c>
      <c r="AA17" s="166">
        <f t="shared" si="4"/>
        <v>2042</v>
      </c>
      <c r="AB17" s="166">
        <f t="shared" si="4"/>
        <v>2043</v>
      </c>
      <c r="AC17" s="166">
        <f t="shared" si="4"/>
        <v>2044</v>
      </c>
      <c r="AD17" s="166">
        <f t="shared" si="4"/>
        <v>2045</v>
      </c>
      <c r="AE17" s="166">
        <f t="shared" si="4"/>
        <v>2046</v>
      </c>
      <c r="AF17" s="166">
        <f t="shared" si="4"/>
        <v>2047</v>
      </c>
      <c r="AG17" s="166">
        <f t="shared" si="4"/>
        <v>2048</v>
      </c>
      <c r="AH17" s="166">
        <f t="shared" si="4"/>
        <v>2049</v>
      </c>
    </row>
    <row r="19" spans="2:34" ht="13" x14ac:dyDescent="0.3">
      <c r="B19" s="113" t="s">
        <v>109</v>
      </c>
      <c r="C19" s="158" t="s">
        <v>22</v>
      </c>
      <c r="D19" s="107" t="s">
        <v>38</v>
      </c>
      <c r="E19" s="107" t="str">
        <f>Calculation!G38</f>
        <v>FY 2019-20</v>
      </c>
      <c r="F19" s="107" t="str">
        <f>Calculation!H38</f>
        <v>FY 2020-21</v>
      </c>
      <c r="G19" s="107" t="str">
        <f>Calculation!I38</f>
        <v>FY 2021-22</v>
      </c>
      <c r="H19" s="107" t="str">
        <f>Calculation!J38</f>
        <v>FY 2022-23</v>
      </c>
      <c r="I19" s="107" t="str">
        <f>Calculation!K38</f>
        <v>FY 2023-24</v>
      </c>
      <c r="J19" s="107" t="str">
        <f>Calculation!L38</f>
        <v>FY 2024-25</v>
      </c>
      <c r="K19" s="107" t="str">
        <f>Calculation!M38</f>
        <v>FY 2025-26</v>
      </c>
      <c r="L19" s="107" t="str">
        <f>Calculation!N38</f>
        <v>FY 2026-27</v>
      </c>
      <c r="M19" s="107" t="str">
        <f>Calculation!O38</f>
        <v>FY 2027-28</v>
      </c>
      <c r="N19" s="107" t="str">
        <f>Calculation!P38</f>
        <v>FY 2028-29</v>
      </c>
      <c r="O19" s="107" t="str">
        <f>Calculation!Q38</f>
        <v>FY 2029-30</v>
      </c>
      <c r="P19" s="107" t="str">
        <f>Calculation!R38</f>
        <v>FY 2030-31</v>
      </c>
      <c r="Q19" s="107" t="str">
        <f>Calculation!S38</f>
        <v>FY 2031-32</v>
      </c>
      <c r="R19" s="107" t="str">
        <f>Calculation!T38</f>
        <v>FY 2032-33</v>
      </c>
      <c r="S19" s="107" t="str">
        <f>Calculation!U38</f>
        <v>FY 2033-34</v>
      </c>
      <c r="T19" s="107" t="str">
        <f>Calculation!V38</f>
        <v>FY 2034-35</v>
      </c>
      <c r="U19" s="107" t="str">
        <f>Calculation!W38</f>
        <v>FY 2035-36</v>
      </c>
      <c r="V19" s="107" t="str">
        <f>Calculation!X38</f>
        <v>FY 2036-37</v>
      </c>
      <c r="W19" s="107" t="str">
        <f>Calculation!Y38</f>
        <v>FY 2037-38</v>
      </c>
      <c r="X19" s="107" t="str">
        <f>Calculation!Z38</f>
        <v>FY 2038-39</v>
      </c>
      <c r="Y19" s="107" t="str">
        <f>Calculation!AA38</f>
        <v>FY 2039-40</v>
      </c>
      <c r="Z19" s="107" t="str">
        <f>Calculation!AB38</f>
        <v>FY 2040-41</v>
      </c>
      <c r="AA19" s="107" t="str">
        <f>Calculation!AC38</f>
        <v>FY 2041-42</v>
      </c>
      <c r="AB19" s="107" t="str">
        <f>Calculation!AD38</f>
        <v>FY 2042-43</v>
      </c>
      <c r="AC19" s="107" t="str">
        <f>Calculation!AE38</f>
        <v>FY 2043-44</v>
      </c>
      <c r="AD19" s="107" t="str">
        <f>Calculation!AF38</f>
        <v>FY 2044-45</v>
      </c>
      <c r="AE19" s="107" t="str">
        <f>Calculation!AG38</f>
        <v>FY 2045-46</v>
      </c>
      <c r="AF19" s="107" t="str">
        <f>Calculation!AH38</f>
        <v>FY 2046-47</v>
      </c>
      <c r="AG19" s="107" t="str">
        <f>Calculation!AI38</f>
        <v>FY 2047-48</v>
      </c>
      <c r="AH19" s="107" t="str">
        <f>Calculation!AJ38</f>
        <v>FY 2048-49</v>
      </c>
    </row>
    <row r="20" spans="2:34" ht="13" x14ac:dyDescent="0.3">
      <c r="B20" s="122" t="s">
        <v>17</v>
      </c>
      <c r="C20" s="122"/>
      <c r="D20" s="123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</row>
    <row r="21" spans="2:34" x14ac:dyDescent="0.25">
      <c r="B21" s="114" t="str">
        <f>'Option inputs'!$C$15</f>
        <v>Option 1A</v>
      </c>
      <c r="C21" s="163" t="s">
        <v>35</v>
      </c>
      <c r="D21" s="123">
        <f>NPV(DiscountRate_ACTIVE,E21:AH21)/(1+DiscountRate_ACTIVE)^(FirstYear-BaseYear-2)*'Option inputs'!$F$15</f>
        <v>-192639420.80652434</v>
      </c>
      <c r="E21" s="106">
        <f>Calculation!G71</f>
        <v>0</v>
      </c>
      <c r="F21" s="106">
        <f>Calculation!H71</f>
        <v>0</v>
      </c>
      <c r="G21" s="106">
        <f>Calculation!I71</f>
        <v>-230010000</v>
      </c>
      <c r="H21" s="106">
        <f>Calculation!J71</f>
        <v>0</v>
      </c>
      <c r="I21" s="106">
        <f>Calculation!K71</f>
        <v>0</v>
      </c>
      <c r="J21" s="106">
        <f>Calculation!L71</f>
        <v>0</v>
      </c>
      <c r="K21" s="106">
        <f>Calculation!M71</f>
        <v>0</v>
      </c>
      <c r="L21" s="106">
        <f>Calculation!N71</f>
        <v>0</v>
      </c>
      <c r="M21" s="106">
        <f>Calculation!O71</f>
        <v>0</v>
      </c>
      <c r="N21" s="106">
        <f>Calculation!P71</f>
        <v>0</v>
      </c>
      <c r="O21" s="106">
        <f>Calculation!Q71</f>
        <v>0</v>
      </c>
      <c r="P21" s="106">
        <f>Calculation!R71</f>
        <v>0</v>
      </c>
      <c r="Q21" s="106">
        <f>Calculation!S71</f>
        <v>0</v>
      </c>
      <c r="R21" s="106">
        <f>Calculation!T71</f>
        <v>0</v>
      </c>
      <c r="S21" s="106">
        <f>Calculation!U71</f>
        <v>0</v>
      </c>
      <c r="T21" s="106">
        <f>Calculation!V71</f>
        <v>0</v>
      </c>
      <c r="U21" s="106">
        <f>Calculation!W71</f>
        <v>0</v>
      </c>
      <c r="V21" s="106">
        <f>Calculation!X71</f>
        <v>0</v>
      </c>
      <c r="W21" s="106">
        <f>Calculation!Y71</f>
        <v>0</v>
      </c>
      <c r="X21" s="106">
        <f>Calculation!Z71</f>
        <v>0</v>
      </c>
      <c r="Y21" s="106">
        <f>Calculation!AA71</f>
        <v>0</v>
      </c>
      <c r="Z21" s="106">
        <f>Calculation!AB71</f>
        <v>0</v>
      </c>
      <c r="AA21" s="106">
        <f>Calculation!AC71</f>
        <v>0</v>
      </c>
      <c r="AB21" s="106">
        <f>Calculation!AD71</f>
        <v>0</v>
      </c>
      <c r="AC21" s="106">
        <f>Calculation!AE71</f>
        <v>0</v>
      </c>
      <c r="AD21" s="106">
        <f>Calculation!AF71</f>
        <v>97198931.709526449</v>
      </c>
      <c r="AE21" s="106">
        <f>Calculation!AG71</f>
        <v>0</v>
      </c>
      <c r="AF21" s="106">
        <f>Calculation!AH71</f>
        <v>0</v>
      </c>
      <c r="AG21" s="106">
        <f>Calculation!AI71</f>
        <v>0</v>
      </c>
      <c r="AH21" s="106">
        <f>Calculation!AJ71</f>
        <v>0</v>
      </c>
    </row>
    <row r="22" spans="2:34" x14ac:dyDescent="0.25">
      <c r="B22" s="114" t="str">
        <f>'Option inputs'!$C$16</f>
        <v>Option 1B</v>
      </c>
      <c r="C22" s="163" t="s">
        <v>35</v>
      </c>
      <c r="D22" s="123">
        <f>NPV(DiscountRate_ACTIVE,E22:AH22)/(1+DiscountRate_ACTIVE)^(FirstYear-BaseYear-2)*'Option inputs'!$F$15</f>
        <v>-35192018.204508327</v>
      </c>
      <c r="E22" s="106">
        <f>Calculation!G72</f>
        <v>0</v>
      </c>
      <c r="F22" s="106">
        <f>Calculation!H72</f>
        <v>0</v>
      </c>
      <c r="G22" s="106">
        <f>Calculation!I72</f>
        <v>-43291097.579387002</v>
      </c>
      <c r="H22" s="106">
        <f>Calculation!J72</f>
        <v>0</v>
      </c>
      <c r="I22" s="106">
        <f>Calculation!K72</f>
        <v>0</v>
      </c>
      <c r="J22" s="106">
        <f>Calculation!L72</f>
        <v>0</v>
      </c>
      <c r="K22" s="106">
        <f>Calculation!M72</f>
        <v>0</v>
      </c>
      <c r="L22" s="106">
        <f>Calculation!N72</f>
        <v>0</v>
      </c>
      <c r="M22" s="106">
        <f>Calculation!O72</f>
        <v>0</v>
      </c>
      <c r="N22" s="106">
        <f>Calculation!P72</f>
        <v>0</v>
      </c>
      <c r="O22" s="106">
        <f>Calculation!Q72</f>
        <v>0</v>
      </c>
      <c r="P22" s="106">
        <f>Calculation!R72</f>
        <v>0</v>
      </c>
      <c r="Q22" s="106">
        <f>Calculation!S72</f>
        <v>0</v>
      </c>
      <c r="R22" s="106">
        <f>Calculation!T72</f>
        <v>0</v>
      </c>
      <c r="S22" s="106">
        <f>Calculation!U72</f>
        <v>0</v>
      </c>
      <c r="T22" s="106">
        <f>Calculation!V72</f>
        <v>0</v>
      </c>
      <c r="U22" s="106">
        <f>Calculation!W72</f>
        <v>0</v>
      </c>
      <c r="V22" s="106">
        <f>Calculation!X72</f>
        <v>0</v>
      </c>
      <c r="W22" s="106">
        <f>Calculation!Y72</f>
        <v>0</v>
      </c>
      <c r="X22" s="106">
        <f>Calculation!Z72</f>
        <v>0</v>
      </c>
      <c r="Y22" s="106">
        <f>Calculation!AA72</f>
        <v>0</v>
      </c>
      <c r="Z22" s="106">
        <f>Calculation!AB72</f>
        <v>0</v>
      </c>
      <c r="AA22" s="106">
        <f>Calculation!AC72</f>
        <v>0</v>
      </c>
      <c r="AB22" s="106">
        <f>Calculation!AD72</f>
        <v>0</v>
      </c>
      <c r="AC22" s="106">
        <f>Calculation!AE72</f>
        <v>0</v>
      </c>
      <c r="AD22" s="106">
        <f>Calculation!AF72</f>
        <v>22511370.741281241</v>
      </c>
      <c r="AE22" s="106">
        <f>Calculation!AG72</f>
        <v>0</v>
      </c>
      <c r="AF22" s="106">
        <f>Calculation!AH72</f>
        <v>0</v>
      </c>
      <c r="AG22" s="106">
        <f>Calculation!AI72</f>
        <v>0</v>
      </c>
      <c r="AH22" s="106">
        <f>Calculation!AJ72</f>
        <v>0</v>
      </c>
    </row>
    <row r="23" spans="2:34" x14ac:dyDescent="0.25">
      <c r="B23" s="114" t="str">
        <f>'Option inputs'!$C$17</f>
        <v>Option 1C</v>
      </c>
      <c r="C23" s="163" t="s">
        <v>35</v>
      </c>
      <c r="D23" s="123">
        <f>NPV(DiscountRate_ACTIVE,E23:AH23)/(1+DiscountRate_ACTIVE)^(FirstYear-BaseYear-2)*'Option inputs'!$F$15</f>
        <v>-157447402.60201597</v>
      </c>
      <c r="E23" s="106">
        <f>Calculation!G73</f>
        <v>0</v>
      </c>
      <c r="F23" s="106">
        <f>Calculation!H73</f>
        <v>0</v>
      </c>
      <c r="G23" s="106">
        <f>Calculation!I73</f>
        <v>-186718902.42061299</v>
      </c>
      <c r="H23" s="106">
        <f>Calculation!J73</f>
        <v>0</v>
      </c>
      <c r="I23" s="106">
        <f>Calculation!K73</f>
        <v>0</v>
      </c>
      <c r="J23" s="106">
        <f>Calculation!L73</f>
        <v>0</v>
      </c>
      <c r="K23" s="106">
        <f>Calculation!M73</f>
        <v>0</v>
      </c>
      <c r="L23" s="106">
        <f>Calculation!N73</f>
        <v>0</v>
      </c>
      <c r="M23" s="106">
        <f>Calculation!O73</f>
        <v>0</v>
      </c>
      <c r="N23" s="106">
        <f>Calculation!P73</f>
        <v>0</v>
      </c>
      <c r="O23" s="106">
        <f>Calculation!Q73</f>
        <v>0</v>
      </c>
      <c r="P23" s="106">
        <f>Calculation!R73</f>
        <v>0</v>
      </c>
      <c r="Q23" s="106">
        <f>Calculation!S73</f>
        <v>0</v>
      </c>
      <c r="R23" s="106">
        <f>Calculation!T73</f>
        <v>0</v>
      </c>
      <c r="S23" s="106">
        <f>Calculation!U73</f>
        <v>0</v>
      </c>
      <c r="T23" s="106">
        <f>Calculation!V73</f>
        <v>0</v>
      </c>
      <c r="U23" s="106">
        <f>Calculation!W73</f>
        <v>0</v>
      </c>
      <c r="V23" s="106">
        <f>Calculation!X73</f>
        <v>0</v>
      </c>
      <c r="W23" s="106">
        <f>Calculation!Y73</f>
        <v>0</v>
      </c>
      <c r="X23" s="106">
        <f>Calculation!Z73</f>
        <v>0</v>
      </c>
      <c r="Y23" s="106">
        <f>Calculation!AA73</f>
        <v>0</v>
      </c>
      <c r="Z23" s="106">
        <f>Calculation!AB73</f>
        <v>0</v>
      </c>
      <c r="AA23" s="106">
        <f>Calculation!AC73</f>
        <v>0</v>
      </c>
      <c r="AB23" s="106">
        <f>Calculation!AD73</f>
        <v>0</v>
      </c>
      <c r="AC23" s="106">
        <f>Calculation!AE73</f>
        <v>0</v>
      </c>
      <c r="AD23" s="106">
        <f>Calculation!AF73</f>
        <v>74687560.968245208</v>
      </c>
      <c r="AE23" s="106">
        <f>Calculation!AG73</f>
        <v>0</v>
      </c>
      <c r="AF23" s="106">
        <f>Calculation!AH73</f>
        <v>0</v>
      </c>
      <c r="AG23" s="106">
        <f>Calculation!AI73</f>
        <v>0</v>
      </c>
      <c r="AH23" s="106">
        <f>Calculation!AJ73</f>
        <v>0</v>
      </c>
    </row>
    <row r="24" spans="2:34" x14ac:dyDescent="0.25">
      <c r="B24" s="114" t="str">
        <f>'Option inputs'!$C$18</f>
        <v>Option 1D</v>
      </c>
      <c r="C24" s="163" t="s">
        <v>35</v>
      </c>
      <c r="D24" s="123">
        <f>NPV(DiscountRate_ACTIVE,E24:AH24)/(1+DiscountRate_ACTIVE)^(FirstYear-BaseYear-2)*'Option inputs'!$F$15</f>
        <v>-50036250.826911874</v>
      </c>
      <c r="E24" s="106">
        <f>Calculation!G74</f>
        <v>0</v>
      </c>
      <c r="F24" s="106">
        <f>Calculation!H74</f>
        <v>0</v>
      </c>
      <c r="G24" s="106">
        <f>Calculation!I74</f>
        <v>-59338634.243838876</v>
      </c>
      <c r="H24" s="106">
        <f>Calculation!J74</f>
        <v>0</v>
      </c>
      <c r="I24" s="106">
        <f>Calculation!K74</f>
        <v>0</v>
      </c>
      <c r="J24" s="106">
        <f>Calculation!L74</f>
        <v>0</v>
      </c>
      <c r="K24" s="106">
        <f>Calculation!M74</f>
        <v>0</v>
      </c>
      <c r="L24" s="106">
        <f>Calculation!N74</f>
        <v>0</v>
      </c>
      <c r="M24" s="106">
        <f>Calculation!O74</f>
        <v>0</v>
      </c>
      <c r="N24" s="106">
        <f>Calculation!P74</f>
        <v>0</v>
      </c>
      <c r="O24" s="106">
        <f>Calculation!Q74</f>
        <v>0</v>
      </c>
      <c r="P24" s="106">
        <f>Calculation!R74</f>
        <v>0</v>
      </c>
      <c r="Q24" s="106">
        <f>Calculation!S74</f>
        <v>0</v>
      </c>
      <c r="R24" s="106">
        <f>Calculation!T74</f>
        <v>0</v>
      </c>
      <c r="S24" s="106">
        <f>Calculation!U74</f>
        <v>0</v>
      </c>
      <c r="T24" s="106">
        <f>Calculation!V74</f>
        <v>0</v>
      </c>
      <c r="U24" s="106">
        <f>Calculation!W74</f>
        <v>0</v>
      </c>
      <c r="V24" s="106">
        <f>Calculation!X74</f>
        <v>0</v>
      </c>
      <c r="W24" s="106">
        <f>Calculation!Y74</f>
        <v>0</v>
      </c>
      <c r="X24" s="106">
        <f>Calculation!Z74</f>
        <v>0</v>
      </c>
      <c r="Y24" s="106">
        <f>Calculation!AA74</f>
        <v>0</v>
      </c>
      <c r="Z24" s="106">
        <f>Calculation!AB74</f>
        <v>0</v>
      </c>
      <c r="AA24" s="106">
        <f>Calculation!AC74</f>
        <v>0</v>
      </c>
      <c r="AB24" s="106">
        <f>Calculation!AD74</f>
        <v>0</v>
      </c>
      <c r="AC24" s="106">
        <f>Calculation!AE74</f>
        <v>0</v>
      </c>
      <c r="AD24" s="106">
        <f>Calculation!AF74</f>
        <v>23735453.697535545</v>
      </c>
      <c r="AE24" s="106">
        <f>Calculation!AG74</f>
        <v>0</v>
      </c>
      <c r="AF24" s="106">
        <f>Calculation!AH74</f>
        <v>0</v>
      </c>
      <c r="AG24" s="106">
        <f>Calculation!AI74</f>
        <v>0</v>
      </c>
      <c r="AH24" s="106">
        <f>Calculation!AJ74</f>
        <v>0</v>
      </c>
    </row>
    <row r="25" spans="2:34" x14ac:dyDescent="0.25">
      <c r="B25" s="114"/>
      <c r="C25" s="114"/>
      <c r="D25" s="123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</row>
    <row r="26" spans="2:34" ht="13" x14ac:dyDescent="0.3">
      <c r="B26" s="122" t="str">
        <f>'CBA Inputs'!B31</f>
        <v>Operating and maintenance cost</v>
      </c>
      <c r="C26" s="122"/>
      <c r="D26" s="123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</row>
    <row r="27" spans="2:34" x14ac:dyDescent="0.25">
      <c r="B27" s="114" t="str">
        <f>'Option inputs'!$C$15</f>
        <v>Option 1A</v>
      </c>
      <c r="C27" s="163" t="s">
        <v>35</v>
      </c>
      <c r="D27" s="123">
        <f>NPV(DiscountRate_ACTIVE,E27:AH27)/(1+DiscountRate_ACTIVE)^(FirstYear-BaseYear-2)*'Option inputs'!$F$15</f>
        <v>-30335839.345870502</v>
      </c>
      <c r="E27" s="106">
        <f>('CBA Inputs'!F$33-'CBA Inputs'!F34)*E$14</f>
        <v>0</v>
      </c>
      <c r="F27" s="106">
        <f>('CBA Inputs'!G$33-'CBA Inputs'!G34)*F$14</f>
        <v>0</v>
      </c>
      <c r="G27" s="106">
        <f>('CBA Inputs'!H$33-'CBA Inputs'!H34)*G$14</f>
        <v>0</v>
      </c>
      <c r="H27" s="106">
        <f>('CBA Inputs'!I$33-'CBA Inputs'!I34)*H$14</f>
        <v>-2300100</v>
      </c>
      <c r="I27" s="106">
        <f>('CBA Inputs'!J$33-'CBA Inputs'!J34)*I$14</f>
        <v>-2300100</v>
      </c>
      <c r="J27" s="106">
        <f>('CBA Inputs'!K$33-'CBA Inputs'!K34)*J$14</f>
        <v>-2300100</v>
      </c>
      <c r="K27" s="106">
        <f>('CBA Inputs'!L$33-'CBA Inputs'!L34)*K$14</f>
        <v>-2300100</v>
      </c>
      <c r="L27" s="106">
        <f>('CBA Inputs'!M$33-'CBA Inputs'!M34)*L$14</f>
        <v>-2300100</v>
      </c>
      <c r="M27" s="106">
        <f>('CBA Inputs'!N$33-'CBA Inputs'!N34)*M$14</f>
        <v>-2300100</v>
      </c>
      <c r="N27" s="106">
        <f>('CBA Inputs'!O$33-'CBA Inputs'!O34)*N$14</f>
        <v>-2300100</v>
      </c>
      <c r="O27" s="106">
        <f>('CBA Inputs'!P$33-'CBA Inputs'!P34)*O$14</f>
        <v>-2300100</v>
      </c>
      <c r="P27" s="106">
        <f>('CBA Inputs'!Q$33-'CBA Inputs'!Q34)*P$14</f>
        <v>-2300100</v>
      </c>
      <c r="Q27" s="106">
        <f>('CBA Inputs'!R$33-'CBA Inputs'!R34)*Q$14</f>
        <v>-2300100</v>
      </c>
      <c r="R27" s="106">
        <f>('CBA Inputs'!S$33-'CBA Inputs'!S34)*R$14</f>
        <v>-2300100</v>
      </c>
      <c r="S27" s="106">
        <f>('CBA Inputs'!T$33-'CBA Inputs'!T34)*S$14</f>
        <v>-2300100</v>
      </c>
      <c r="T27" s="106">
        <f>('CBA Inputs'!U$33-'CBA Inputs'!U34)*T$14</f>
        <v>-2300100</v>
      </c>
      <c r="U27" s="106">
        <f>('CBA Inputs'!V$33-'CBA Inputs'!V34)*U$14</f>
        <v>-2300100</v>
      </c>
      <c r="V27" s="106">
        <f>('CBA Inputs'!W$33-'CBA Inputs'!W34)*V$14</f>
        <v>-10700100</v>
      </c>
      <c r="W27" s="106">
        <f>('CBA Inputs'!X$33-'CBA Inputs'!X34)*W$14</f>
        <v>-2340100</v>
      </c>
      <c r="X27" s="106">
        <f>('CBA Inputs'!Y$33-'CBA Inputs'!Y34)*X$14</f>
        <v>-2300100</v>
      </c>
      <c r="Y27" s="106">
        <f>('CBA Inputs'!Z$33-'CBA Inputs'!Z34)*Y$14</f>
        <v>-2300100</v>
      </c>
      <c r="Z27" s="106">
        <f>('CBA Inputs'!AA$33-'CBA Inputs'!AA34)*Z$14</f>
        <v>-2300100</v>
      </c>
      <c r="AA27" s="106">
        <f>('CBA Inputs'!AB$33-'CBA Inputs'!AB34)*AA$14</f>
        <v>-2300100</v>
      </c>
      <c r="AB27" s="106">
        <f>('CBA Inputs'!AC$33-'CBA Inputs'!AC34)*AB$14</f>
        <v>-2300100</v>
      </c>
      <c r="AC27" s="106">
        <f>('CBA Inputs'!AD$33-'CBA Inputs'!AD34)*AC$14</f>
        <v>-2300100</v>
      </c>
      <c r="AD27" s="106">
        <f>('CBA Inputs'!AE$33-'CBA Inputs'!AE34)*AD$14</f>
        <v>-2300100</v>
      </c>
      <c r="AE27" s="106">
        <f>('CBA Inputs'!AF$33-'CBA Inputs'!AF34)*AE$14</f>
        <v>0</v>
      </c>
      <c r="AF27" s="106">
        <f>('CBA Inputs'!AG$33-'CBA Inputs'!AG34)*AF$14</f>
        <v>0</v>
      </c>
      <c r="AG27" s="106">
        <f>('CBA Inputs'!AH$33-'CBA Inputs'!AH34)*AG$14</f>
        <v>0</v>
      </c>
      <c r="AH27" s="106">
        <f>('CBA Inputs'!AI$33-'CBA Inputs'!AI34)*AH$14</f>
        <v>0</v>
      </c>
    </row>
    <row r="28" spans="2:34" x14ac:dyDescent="0.25">
      <c r="B28" s="114" t="str">
        <f>'Option inputs'!$C$16</f>
        <v>Option 1B</v>
      </c>
      <c r="C28" s="163" t="s">
        <v>35</v>
      </c>
      <c r="D28" s="123">
        <f>NPV(DiscountRate_ACTIVE,E28:AH28)/(1+DiscountRate_ACTIVE)^(FirstYear-BaseYear-2)*'Option inputs'!$F$15</f>
        <v>-5074964.4631871413</v>
      </c>
      <c r="E28" s="106">
        <f>('CBA Inputs'!F$33-'CBA Inputs'!F35)*E$14</f>
        <v>0</v>
      </c>
      <c r="F28" s="106">
        <f>('CBA Inputs'!G$33-'CBA Inputs'!G35)*F$14</f>
        <v>0</v>
      </c>
      <c r="G28" s="106">
        <f>('CBA Inputs'!H$33-'CBA Inputs'!H35)*G$14</f>
        <v>0</v>
      </c>
      <c r="H28" s="106">
        <f>('CBA Inputs'!I$33-'CBA Inputs'!I35)*H$14</f>
        <v>-432910.97579387005</v>
      </c>
      <c r="I28" s="106">
        <f>('CBA Inputs'!J$33-'CBA Inputs'!J35)*I$14</f>
        <v>-432910.97579387005</v>
      </c>
      <c r="J28" s="106">
        <f>('CBA Inputs'!K$33-'CBA Inputs'!K35)*J$14</f>
        <v>-432910.97579387005</v>
      </c>
      <c r="K28" s="106">
        <f>('CBA Inputs'!L$33-'CBA Inputs'!L35)*K$14</f>
        <v>-432910.97579387005</v>
      </c>
      <c r="L28" s="106">
        <f>('CBA Inputs'!M$33-'CBA Inputs'!M35)*L$14</f>
        <v>-432910.97579387005</v>
      </c>
      <c r="M28" s="106">
        <f>('CBA Inputs'!N$33-'CBA Inputs'!N35)*M$14</f>
        <v>-432910.97579387005</v>
      </c>
      <c r="N28" s="106">
        <f>('CBA Inputs'!O$33-'CBA Inputs'!O35)*N$14</f>
        <v>-432910.97579387005</v>
      </c>
      <c r="O28" s="106">
        <f>('CBA Inputs'!P$33-'CBA Inputs'!P35)*O$14</f>
        <v>-432910.97579387005</v>
      </c>
      <c r="P28" s="106">
        <f>('CBA Inputs'!Q$33-'CBA Inputs'!Q35)*P$14</f>
        <v>-432910.97579387005</v>
      </c>
      <c r="Q28" s="106">
        <f>('CBA Inputs'!R$33-'CBA Inputs'!R35)*Q$14</f>
        <v>-432910.97579387005</v>
      </c>
      <c r="R28" s="106">
        <f>('CBA Inputs'!S$33-'CBA Inputs'!S35)*R$14</f>
        <v>-432910.97579387005</v>
      </c>
      <c r="S28" s="106">
        <f>('CBA Inputs'!T$33-'CBA Inputs'!T35)*S$14</f>
        <v>-432910.97579387005</v>
      </c>
      <c r="T28" s="106">
        <f>('CBA Inputs'!U$33-'CBA Inputs'!U35)*T$14</f>
        <v>-432910.97579387005</v>
      </c>
      <c r="U28" s="106">
        <f>('CBA Inputs'!V$33-'CBA Inputs'!V35)*U$14</f>
        <v>-432910.97579387005</v>
      </c>
      <c r="V28" s="106">
        <f>('CBA Inputs'!W$33-'CBA Inputs'!W35)*V$14</f>
        <v>-432910.97579387005</v>
      </c>
      <c r="W28" s="106">
        <f>('CBA Inputs'!X$33-'CBA Inputs'!X35)*W$14</f>
        <v>-432910.97579387005</v>
      </c>
      <c r="X28" s="106">
        <f>('CBA Inputs'!Y$33-'CBA Inputs'!Y35)*X$14</f>
        <v>-432910.97579387005</v>
      </c>
      <c r="Y28" s="106">
        <f>('CBA Inputs'!Z$33-'CBA Inputs'!Z35)*Y$14</f>
        <v>-432910.97579387005</v>
      </c>
      <c r="Z28" s="106">
        <f>('CBA Inputs'!AA$33-'CBA Inputs'!AA35)*Z$14</f>
        <v>-432910.97579387005</v>
      </c>
      <c r="AA28" s="106">
        <f>('CBA Inputs'!AB$33-'CBA Inputs'!AB35)*AA$14</f>
        <v>-432910.97579387005</v>
      </c>
      <c r="AB28" s="106">
        <f>('CBA Inputs'!AC$33-'CBA Inputs'!AC35)*AB$14</f>
        <v>-432910.97579387005</v>
      </c>
      <c r="AC28" s="106">
        <f>('CBA Inputs'!AD$33-'CBA Inputs'!AD35)*AC$14</f>
        <v>-432910.97579387005</v>
      </c>
      <c r="AD28" s="106">
        <f>('CBA Inputs'!AE$33-'CBA Inputs'!AE35)*AD$14</f>
        <v>-432910.97579387005</v>
      </c>
      <c r="AE28" s="106">
        <f>('CBA Inputs'!AF$33-'CBA Inputs'!AF35)*AE$14</f>
        <v>0</v>
      </c>
      <c r="AF28" s="106">
        <f>('CBA Inputs'!AG$33-'CBA Inputs'!AG35)*AF$14</f>
        <v>0</v>
      </c>
      <c r="AG28" s="106">
        <f>('CBA Inputs'!AH$33-'CBA Inputs'!AH35)*AG$14</f>
        <v>0</v>
      </c>
      <c r="AH28" s="106">
        <f>('CBA Inputs'!AI$33-'CBA Inputs'!AI35)*AH$14</f>
        <v>0</v>
      </c>
    </row>
    <row r="29" spans="2:34" x14ac:dyDescent="0.25">
      <c r="B29" s="114" t="str">
        <f>'Option inputs'!$C$17</f>
        <v>Option 1C</v>
      </c>
      <c r="C29" s="163" t="s">
        <v>35</v>
      </c>
      <c r="D29" s="123">
        <f>NPV(DiscountRate_ACTIVE,E29:AH29)/(1+DiscountRate_ACTIVE)^(FirstYear-BaseYear-2)*'Option inputs'!$F$15</f>
        <v>-25260874.882683363</v>
      </c>
      <c r="E29" s="106">
        <f>('CBA Inputs'!F$33-'CBA Inputs'!F36)*E$14</f>
        <v>0</v>
      </c>
      <c r="F29" s="106">
        <f>('CBA Inputs'!G$33-'CBA Inputs'!G36)*F$14</f>
        <v>0</v>
      </c>
      <c r="G29" s="106">
        <f>('CBA Inputs'!H$33-'CBA Inputs'!H36)*G$14</f>
        <v>0</v>
      </c>
      <c r="H29" s="106">
        <f>('CBA Inputs'!I$33-'CBA Inputs'!I36)*H$14</f>
        <v>-1867189.0242061298</v>
      </c>
      <c r="I29" s="106">
        <f>('CBA Inputs'!J$33-'CBA Inputs'!J36)*I$14</f>
        <v>-1867189.0242061298</v>
      </c>
      <c r="J29" s="106">
        <f>('CBA Inputs'!K$33-'CBA Inputs'!K36)*J$14</f>
        <v>-1867189.0242061298</v>
      </c>
      <c r="K29" s="106">
        <f>('CBA Inputs'!L$33-'CBA Inputs'!L36)*K$14</f>
        <v>-1867189.0242061298</v>
      </c>
      <c r="L29" s="106">
        <f>('CBA Inputs'!M$33-'CBA Inputs'!M36)*L$14</f>
        <v>-1867189.0242061298</v>
      </c>
      <c r="M29" s="106">
        <f>('CBA Inputs'!N$33-'CBA Inputs'!N36)*M$14</f>
        <v>-1867189.0242061298</v>
      </c>
      <c r="N29" s="106">
        <f>('CBA Inputs'!O$33-'CBA Inputs'!O36)*N$14</f>
        <v>-1867189.0242061298</v>
      </c>
      <c r="O29" s="106">
        <f>('CBA Inputs'!P$33-'CBA Inputs'!P36)*O$14</f>
        <v>-1867189.0242061298</v>
      </c>
      <c r="P29" s="106">
        <f>('CBA Inputs'!Q$33-'CBA Inputs'!Q36)*P$14</f>
        <v>-1867189.0242061298</v>
      </c>
      <c r="Q29" s="106">
        <f>('CBA Inputs'!R$33-'CBA Inputs'!R36)*Q$14</f>
        <v>-1867189.0242061298</v>
      </c>
      <c r="R29" s="106">
        <f>('CBA Inputs'!S$33-'CBA Inputs'!S36)*R$14</f>
        <v>-1867189.0242061298</v>
      </c>
      <c r="S29" s="106">
        <f>('CBA Inputs'!T$33-'CBA Inputs'!T36)*S$14</f>
        <v>-1867189.0242061298</v>
      </c>
      <c r="T29" s="106">
        <f>('CBA Inputs'!U$33-'CBA Inputs'!U36)*T$14</f>
        <v>-1867189.0242061298</v>
      </c>
      <c r="U29" s="106">
        <f>('CBA Inputs'!V$33-'CBA Inputs'!V36)*U$14</f>
        <v>-1867189.0242061298</v>
      </c>
      <c r="V29" s="106">
        <f>('CBA Inputs'!W$33-'CBA Inputs'!W36)*V$14</f>
        <v>-10267189.02420613</v>
      </c>
      <c r="W29" s="106">
        <f>('CBA Inputs'!X$33-'CBA Inputs'!X36)*W$14</f>
        <v>-1907189.0242061298</v>
      </c>
      <c r="X29" s="106">
        <f>('CBA Inputs'!Y$33-'CBA Inputs'!Y36)*X$14</f>
        <v>-1867189.0242061298</v>
      </c>
      <c r="Y29" s="106">
        <f>('CBA Inputs'!Z$33-'CBA Inputs'!Z36)*Y$14</f>
        <v>-1867189.0242061298</v>
      </c>
      <c r="Z29" s="106">
        <f>('CBA Inputs'!AA$33-'CBA Inputs'!AA36)*Z$14</f>
        <v>-1867189.0242061298</v>
      </c>
      <c r="AA29" s="106">
        <f>('CBA Inputs'!AB$33-'CBA Inputs'!AB36)*AA$14</f>
        <v>-1867189.0242061298</v>
      </c>
      <c r="AB29" s="106">
        <f>('CBA Inputs'!AC$33-'CBA Inputs'!AC36)*AB$14</f>
        <v>-1867189.0242061298</v>
      </c>
      <c r="AC29" s="106">
        <f>('CBA Inputs'!AD$33-'CBA Inputs'!AD36)*AC$14</f>
        <v>-1867189.0242061298</v>
      </c>
      <c r="AD29" s="106">
        <f>('CBA Inputs'!AE$33-'CBA Inputs'!AE36)*AD$14</f>
        <v>-1867189.0242061298</v>
      </c>
      <c r="AE29" s="106">
        <f>('CBA Inputs'!AF$33-'CBA Inputs'!AF36)*AE$14</f>
        <v>0</v>
      </c>
      <c r="AF29" s="106">
        <f>('CBA Inputs'!AG$33-'CBA Inputs'!AG36)*AF$14</f>
        <v>0</v>
      </c>
      <c r="AG29" s="106">
        <f>('CBA Inputs'!AH$33-'CBA Inputs'!AH36)*AG$14</f>
        <v>0</v>
      </c>
      <c r="AH29" s="106">
        <f>('CBA Inputs'!AI$33-'CBA Inputs'!AI36)*AH$14</f>
        <v>0</v>
      </c>
    </row>
    <row r="30" spans="2:34" x14ac:dyDescent="0.25">
      <c r="B30" s="114" t="str">
        <f>'Option inputs'!$C$18</f>
        <v>Option 1D</v>
      </c>
      <c r="C30" s="163" t="s">
        <v>35</v>
      </c>
      <c r="D30" s="123">
        <f>NPV(DiscountRate_ACTIVE,E30:AH30)/(1+DiscountRate_ACTIVE)^(FirstYear-BaseYear-2)*'Option inputs'!$F$15</f>
        <v>-6956198.3160466217</v>
      </c>
      <c r="E30" s="106">
        <f>('CBA Inputs'!F$33-'CBA Inputs'!F37)*E$14</f>
        <v>0</v>
      </c>
      <c r="F30" s="106">
        <f>('CBA Inputs'!G$33-'CBA Inputs'!G37)*F$14</f>
        <v>0</v>
      </c>
      <c r="G30" s="106">
        <f>('CBA Inputs'!H$33-'CBA Inputs'!H37)*G$14</f>
        <v>0</v>
      </c>
      <c r="H30" s="106">
        <f>('CBA Inputs'!I$33-'CBA Inputs'!I37)*H$14</f>
        <v>-593386.34243838873</v>
      </c>
      <c r="I30" s="106">
        <f>('CBA Inputs'!J$33-'CBA Inputs'!J37)*I$14</f>
        <v>-593386.34243838873</v>
      </c>
      <c r="J30" s="106">
        <f>('CBA Inputs'!K$33-'CBA Inputs'!K37)*J$14</f>
        <v>-593386.34243838873</v>
      </c>
      <c r="K30" s="106">
        <f>('CBA Inputs'!L$33-'CBA Inputs'!L37)*K$14</f>
        <v>-593386.34243838873</v>
      </c>
      <c r="L30" s="106">
        <f>('CBA Inputs'!M$33-'CBA Inputs'!M37)*L$14</f>
        <v>-593386.34243838873</v>
      </c>
      <c r="M30" s="106">
        <f>('CBA Inputs'!N$33-'CBA Inputs'!N37)*M$14</f>
        <v>-593386.34243838873</v>
      </c>
      <c r="N30" s="106">
        <f>('CBA Inputs'!O$33-'CBA Inputs'!O37)*N$14</f>
        <v>-593386.34243838873</v>
      </c>
      <c r="O30" s="106">
        <f>('CBA Inputs'!P$33-'CBA Inputs'!P37)*O$14</f>
        <v>-593386.34243838873</v>
      </c>
      <c r="P30" s="106">
        <f>('CBA Inputs'!Q$33-'CBA Inputs'!Q37)*P$14</f>
        <v>-593386.34243838873</v>
      </c>
      <c r="Q30" s="106">
        <f>('CBA Inputs'!R$33-'CBA Inputs'!R37)*Q$14</f>
        <v>-593386.34243838873</v>
      </c>
      <c r="R30" s="106">
        <f>('CBA Inputs'!S$33-'CBA Inputs'!S37)*R$14</f>
        <v>-593386.34243838873</v>
      </c>
      <c r="S30" s="106">
        <f>('CBA Inputs'!T$33-'CBA Inputs'!T37)*S$14</f>
        <v>-593386.34243838873</v>
      </c>
      <c r="T30" s="106">
        <f>('CBA Inputs'!U$33-'CBA Inputs'!U37)*T$14</f>
        <v>-593386.34243838873</v>
      </c>
      <c r="U30" s="106">
        <f>('CBA Inputs'!V$33-'CBA Inputs'!V37)*U$14</f>
        <v>-593386.34243838873</v>
      </c>
      <c r="V30" s="106">
        <f>('CBA Inputs'!W$33-'CBA Inputs'!W37)*V$14</f>
        <v>-593386.34243838873</v>
      </c>
      <c r="W30" s="106">
        <f>('CBA Inputs'!X$33-'CBA Inputs'!X37)*W$14</f>
        <v>-593386.34243838873</v>
      </c>
      <c r="X30" s="106">
        <f>('CBA Inputs'!Y$33-'CBA Inputs'!Y37)*X$14</f>
        <v>-593386.34243838873</v>
      </c>
      <c r="Y30" s="106">
        <f>('CBA Inputs'!Z$33-'CBA Inputs'!Z37)*Y$14</f>
        <v>-593386.34243838873</v>
      </c>
      <c r="Z30" s="106">
        <f>('CBA Inputs'!AA$33-'CBA Inputs'!AA37)*Z$14</f>
        <v>-593386.34243838873</v>
      </c>
      <c r="AA30" s="106">
        <f>('CBA Inputs'!AB$33-'CBA Inputs'!AB37)*AA$14</f>
        <v>-593386.34243838873</v>
      </c>
      <c r="AB30" s="106">
        <f>('CBA Inputs'!AC$33-'CBA Inputs'!AC37)*AB$14</f>
        <v>-593386.34243838873</v>
      </c>
      <c r="AC30" s="106">
        <f>('CBA Inputs'!AD$33-'CBA Inputs'!AD37)*AC$14</f>
        <v>-593386.34243838873</v>
      </c>
      <c r="AD30" s="106">
        <f>('CBA Inputs'!AE$33-'CBA Inputs'!AE37)*AD$14</f>
        <v>-593386.34243838873</v>
      </c>
      <c r="AE30" s="106">
        <f>('CBA Inputs'!AF$33-'CBA Inputs'!AF37)*AE$14</f>
        <v>0</v>
      </c>
      <c r="AF30" s="106">
        <f>('CBA Inputs'!AG$33-'CBA Inputs'!AG37)*AF$14</f>
        <v>0</v>
      </c>
      <c r="AG30" s="106">
        <f>('CBA Inputs'!AH$33-'CBA Inputs'!AH37)*AG$14</f>
        <v>0</v>
      </c>
      <c r="AH30" s="106">
        <f>('CBA Inputs'!AI$33-'CBA Inputs'!AI37)*AH$14</f>
        <v>0</v>
      </c>
    </row>
    <row r="32" spans="2:34" ht="13" x14ac:dyDescent="0.3">
      <c r="B32" s="113" t="str">
        <f>D6</f>
        <v>Neutral</v>
      </c>
      <c r="C32" s="158" t="s">
        <v>22</v>
      </c>
      <c r="D32" s="107" t="s">
        <v>38</v>
      </c>
      <c r="E32" s="107" t="str">
        <f>E$19</f>
        <v>FY 2019-20</v>
      </c>
      <c r="F32" s="107" t="str">
        <f t="shared" ref="F32:AH32" si="5">F$19</f>
        <v>FY 2020-21</v>
      </c>
      <c r="G32" s="107" t="str">
        <f t="shared" si="5"/>
        <v>FY 2021-22</v>
      </c>
      <c r="H32" s="107" t="str">
        <f t="shared" si="5"/>
        <v>FY 2022-23</v>
      </c>
      <c r="I32" s="107" t="str">
        <f t="shared" si="5"/>
        <v>FY 2023-24</v>
      </c>
      <c r="J32" s="107" t="str">
        <f t="shared" si="5"/>
        <v>FY 2024-25</v>
      </c>
      <c r="K32" s="107" t="str">
        <f t="shared" si="5"/>
        <v>FY 2025-26</v>
      </c>
      <c r="L32" s="107" t="str">
        <f t="shared" si="5"/>
        <v>FY 2026-27</v>
      </c>
      <c r="M32" s="107" t="str">
        <f t="shared" si="5"/>
        <v>FY 2027-28</v>
      </c>
      <c r="N32" s="107" t="str">
        <f t="shared" si="5"/>
        <v>FY 2028-29</v>
      </c>
      <c r="O32" s="107" t="str">
        <f t="shared" si="5"/>
        <v>FY 2029-30</v>
      </c>
      <c r="P32" s="107" t="str">
        <f t="shared" si="5"/>
        <v>FY 2030-31</v>
      </c>
      <c r="Q32" s="107" t="str">
        <f t="shared" si="5"/>
        <v>FY 2031-32</v>
      </c>
      <c r="R32" s="107" t="str">
        <f t="shared" si="5"/>
        <v>FY 2032-33</v>
      </c>
      <c r="S32" s="107" t="str">
        <f t="shared" si="5"/>
        <v>FY 2033-34</v>
      </c>
      <c r="T32" s="107" t="str">
        <f t="shared" si="5"/>
        <v>FY 2034-35</v>
      </c>
      <c r="U32" s="107" t="str">
        <f t="shared" si="5"/>
        <v>FY 2035-36</v>
      </c>
      <c r="V32" s="107" t="str">
        <f t="shared" si="5"/>
        <v>FY 2036-37</v>
      </c>
      <c r="W32" s="107" t="str">
        <f t="shared" si="5"/>
        <v>FY 2037-38</v>
      </c>
      <c r="X32" s="107" t="str">
        <f t="shared" si="5"/>
        <v>FY 2038-39</v>
      </c>
      <c r="Y32" s="107" t="str">
        <f t="shared" si="5"/>
        <v>FY 2039-40</v>
      </c>
      <c r="Z32" s="107" t="str">
        <f t="shared" si="5"/>
        <v>FY 2040-41</v>
      </c>
      <c r="AA32" s="107" t="str">
        <f t="shared" si="5"/>
        <v>FY 2041-42</v>
      </c>
      <c r="AB32" s="107" t="str">
        <f t="shared" si="5"/>
        <v>FY 2042-43</v>
      </c>
      <c r="AC32" s="107" t="str">
        <f t="shared" si="5"/>
        <v>FY 2043-44</v>
      </c>
      <c r="AD32" s="107" t="str">
        <f t="shared" si="5"/>
        <v>FY 2044-45</v>
      </c>
      <c r="AE32" s="107" t="str">
        <f t="shared" si="5"/>
        <v>FY 2045-46</v>
      </c>
      <c r="AF32" s="107" t="str">
        <f t="shared" si="5"/>
        <v>FY 2046-47</v>
      </c>
      <c r="AG32" s="107" t="str">
        <f t="shared" si="5"/>
        <v>FY 2047-48</v>
      </c>
      <c r="AH32" s="107" t="str">
        <f t="shared" si="5"/>
        <v>FY 2048-49</v>
      </c>
    </row>
    <row r="33" spans="2:34" ht="13" x14ac:dyDescent="0.3">
      <c r="B33" s="122" t="str">
        <f>'CBA Inputs'!B41</f>
        <v>Involuntary load shedding</v>
      </c>
      <c r="C33" s="122"/>
      <c r="D33" s="123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</row>
    <row r="34" spans="2:34" x14ac:dyDescent="0.25">
      <c r="B34" s="114" t="str">
        <f>'Option inputs'!$C$15</f>
        <v>Option 1A</v>
      </c>
      <c r="C34" s="163" t="s">
        <v>35</v>
      </c>
      <c r="D34" s="123">
        <f>NPV(DiscountRate_ACTIVE,E34:AH34)/(1+DiscountRate_ACTIVE)^(FirstYear-BaseYear-2)*'Option inputs'!$F$15</f>
        <v>7433268.2461585235</v>
      </c>
      <c r="E34" s="106">
        <f>('CBA Inputs'!F$44-'CBA Inputs'!F45)*E$14</f>
        <v>0</v>
      </c>
      <c r="F34" s="106">
        <f>('CBA Inputs'!G$44-'CBA Inputs'!G45)*F$14</f>
        <v>0.38766966154798865</v>
      </c>
      <c r="G34" s="106">
        <f>('CBA Inputs'!H$44-'CBA Inputs'!H45)*G$14</f>
        <v>-0.88129361905157566</v>
      </c>
      <c r="H34" s="106">
        <f>('CBA Inputs'!I$44-'CBA Inputs'!I45)*H$14</f>
        <v>-537096.66099381447</v>
      </c>
      <c r="I34" s="106">
        <f>('CBA Inputs'!J$44-'CBA Inputs'!J45)*I$14</f>
        <v>10366762.414264672</v>
      </c>
      <c r="J34" s="106">
        <f>('CBA Inputs'!K$44-'CBA Inputs'!K45)*J$14</f>
        <v>5337556.9975983799</v>
      </c>
      <c r="K34" s="106">
        <f>('CBA Inputs'!L$44-'CBA Inputs'!L45)*K$14</f>
        <v>1.0570264596427119</v>
      </c>
      <c r="L34" s="106">
        <f>('CBA Inputs'!M$44-'CBA Inputs'!M45)*L$14</f>
        <v>1.119371473932453</v>
      </c>
      <c r="M34" s="106">
        <f>('CBA Inputs'!N$44-'CBA Inputs'!N45)*M$14</f>
        <v>1.1888004023354493</v>
      </c>
      <c r="N34" s="106">
        <f>('CBA Inputs'!O$44-'CBA Inputs'!O45)*N$14</f>
        <v>-3568513.7924693823</v>
      </c>
      <c r="O34" s="106">
        <f>('CBA Inputs'!P$44-'CBA Inputs'!P45)*O$14</f>
        <v>-559392.11505481601</v>
      </c>
      <c r="P34" s="106">
        <f>('CBA Inputs'!Q$44-'CBA Inputs'!Q45)*P$14</f>
        <v>809110.50963641517</v>
      </c>
      <c r="Q34" s="106">
        <f>('CBA Inputs'!R$44-'CBA Inputs'!R45)*Q$14</f>
        <v>-218937.45602569915</v>
      </c>
      <c r="R34" s="106">
        <f>('CBA Inputs'!S$44-'CBA Inputs'!S45)*R$14</f>
        <v>188425.1372694429</v>
      </c>
      <c r="S34" s="106">
        <f>('CBA Inputs'!T$44-'CBA Inputs'!T45)*S$14</f>
        <v>-3148544.9642912</v>
      </c>
      <c r="T34" s="106">
        <f>('CBA Inputs'!U$44-'CBA Inputs'!U45)*T$14</f>
        <v>1033433.4675950804</v>
      </c>
      <c r="U34" s="106">
        <f>('CBA Inputs'!V$44-'CBA Inputs'!V45)*U$14</f>
        <v>2241409.6736448407</v>
      </c>
      <c r="V34" s="106">
        <f>('CBA Inputs'!W$44-'CBA Inputs'!W45)*V$14</f>
        <v>1.9788994520551773</v>
      </c>
      <c r="W34" s="106">
        <f>('CBA Inputs'!X$44-'CBA Inputs'!X45)*W$14</f>
        <v>2.0930414905801471</v>
      </c>
      <c r="X34" s="106">
        <f>('CBA Inputs'!Y$44-'CBA Inputs'!Y45)*X$14</f>
        <v>-41.75545007456094</v>
      </c>
      <c r="Y34" s="106">
        <f>('CBA Inputs'!Z$44-'CBA Inputs'!Z45)*Y$14</f>
        <v>8030420.2850036174</v>
      </c>
      <c r="Z34" s="106">
        <f>('CBA Inputs'!AA$44-'CBA Inputs'!AA45)*Z$14</f>
        <v>-11376845.103311829</v>
      </c>
      <c r="AA34" s="106">
        <f>('CBA Inputs'!AB$44-'CBA Inputs'!AB45)*AA$14</f>
        <v>-2699455.8349100351</v>
      </c>
      <c r="AB34" s="106">
        <f>('CBA Inputs'!AC$44-'CBA Inputs'!AC45)*AB$14</f>
        <v>-918415.06049765646</v>
      </c>
      <c r="AC34" s="106">
        <f>('CBA Inputs'!AD$44-'CBA Inputs'!AD45)*AC$14</f>
        <v>-3137189.9702465534</v>
      </c>
      <c r="AD34" s="106">
        <f>('CBA Inputs'!AE$44-'CBA Inputs'!AE45)*AD$14</f>
        <v>3.1139610222469023</v>
      </c>
      <c r="AE34" s="106">
        <f>('CBA Inputs'!AF$44-'CBA Inputs'!AF45)*AE$14</f>
        <v>0</v>
      </c>
      <c r="AF34" s="106">
        <f>('CBA Inputs'!AG$44-'CBA Inputs'!AG45)*AF$14</f>
        <v>0</v>
      </c>
      <c r="AG34" s="106">
        <f>('CBA Inputs'!AH$44-'CBA Inputs'!AH45)*AG$14</f>
        <v>0</v>
      </c>
      <c r="AH34" s="106">
        <f>('CBA Inputs'!AI$44-'CBA Inputs'!AI45)*AH$14</f>
        <v>0</v>
      </c>
    </row>
    <row r="35" spans="2:34" x14ac:dyDescent="0.25">
      <c r="B35" s="114" t="str">
        <f>'Option inputs'!$C$16</f>
        <v>Option 1B</v>
      </c>
      <c r="C35" s="163" t="s">
        <v>35</v>
      </c>
      <c r="D35" s="123">
        <f>NPV(DiscountRate_ACTIVE,E35:AH35)/(1+DiscountRate_ACTIVE)^(FirstYear-BaseYear-2)*'Option inputs'!$F$15</f>
        <v>-4246374.9892382054</v>
      </c>
      <c r="E35" s="106">
        <f>('CBA Inputs'!F$44-'CBA Inputs'!F46)*E$14</f>
        <v>0</v>
      </c>
      <c r="F35" s="106">
        <f>('CBA Inputs'!G$44-'CBA Inputs'!G46)*F$14</f>
        <v>-0.71310427726712078</v>
      </c>
      <c r="G35" s="106">
        <f>('CBA Inputs'!H$44-'CBA Inputs'!H46)*G$14</f>
        <v>0.87324730306863785</v>
      </c>
      <c r="H35" s="106">
        <f>('CBA Inputs'!I$44-'CBA Inputs'!I46)*H$14</f>
        <v>48424.542815715075</v>
      </c>
      <c r="I35" s="106">
        <f>('CBA Inputs'!J$44-'CBA Inputs'!J46)*I$14</f>
        <v>8460048.7075162977</v>
      </c>
      <c r="J35" s="106">
        <f>('CBA Inputs'!K$44-'CBA Inputs'!K46)*J$14</f>
        <v>-492977.33063256741</v>
      </c>
      <c r="K35" s="106">
        <f>('CBA Inputs'!L$44-'CBA Inputs'!L46)*K$14</f>
        <v>-1.8365046225170778</v>
      </c>
      <c r="L35" s="106">
        <f>('CBA Inputs'!M$44-'CBA Inputs'!M46)*L$14</f>
        <v>-1.9447310227862191</v>
      </c>
      <c r="M35" s="106">
        <f>('CBA Inputs'!N$44-'CBA Inputs'!N46)*M$14</f>
        <v>-2.0654309988087545</v>
      </c>
      <c r="N35" s="106">
        <f>('CBA Inputs'!O$44-'CBA Inputs'!O46)*N$14</f>
        <v>-2737031.1053870618</v>
      </c>
      <c r="O35" s="106">
        <f>('CBA Inputs'!P$44-'CBA Inputs'!P46)*O$14</f>
        <v>299986.90558967739</v>
      </c>
      <c r="P35" s="106">
        <f>('CBA Inputs'!Q$44-'CBA Inputs'!Q46)*P$14</f>
        <v>327932.6768959146</v>
      </c>
      <c r="Q35" s="106">
        <f>('CBA Inputs'!R$44-'CBA Inputs'!R46)*Q$14</f>
        <v>234190.58550129086</v>
      </c>
      <c r="R35" s="106">
        <f>('CBA Inputs'!S$44-'CBA Inputs'!S46)*R$14</f>
        <v>492356.59693060629</v>
      </c>
      <c r="S35" s="106">
        <f>('CBA Inputs'!T$44-'CBA Inputs'!T46)*S$14</f>
        <v>-4810273.776443854</v>
      </c>
      <c r="T35" s="106">
        <f>('CBA Inputs'!U$44-'CBA Inputs'!U46)*T$14</f>
        <v>92593.663902140688</v>
      </c>
      <c r="U35" s="106">
        <f>('CBA Inputs'!V$44-'CBA Inputs'!V46)*U$14</f>
        <v>1406601.3684630394</v>
      </c>
      <c r="V35" s="106">
        <f>('CBA Inputs'!W$44-'CBA Inputs'!W46)*V$14</f>
        <v>-3.4382160490047187</v>
      </c>
      <c r="W35" s="106">
        <f>('CBA Inputs'!X$44-'CBA Inputs'!X46)*W$14</f>
        <v>-3.6364698398649828</v>
      </c>
      <c r="X35" s="106">
        <f>('CBA Inputs'!Y$44-'CBA Inputs'!Y46)*X$14</f>
        <v>-33.618209160864353</v>
      </c>
      <c r="Y35" s="106">
        <f>('CBA Inputs'!Z$44-'CBA Inputs'!Z46)*Y$14</f>
        <v>-883328.14655894041</v>
      </c>
      <c r="Z35" s="106">
        <f>('CBA Inputs'!AA$44-'CBA Inputs'!AA46)*Z$14</f>
        <v>-10989395.282479748</v>
      </c>
      <c r="AA35" s="106">
        <f>('CBA Inputs'!AB$44-'CBA Inputs'!AB46)*AA$14</f>
        <v>-9163057.6103923693</v>
      </c>
      <c r="AB35" s="106">
        <f>('CBA Inputs'!AC$44-'CBA Inputs'!AC46)*AB$14</f>
        <v>-5937040.388379693</v>
      </c>
      <c r="AC35" s="106">
        <f>('CBA Inputs'!AD$44-'CBA Inputs'!AD46)*AC$14</f>
        <v>-597711.82316660881</v>
      </c>
      <c r="AD35" s="106">
        <f>('CBA Inputs'!AE$44-'CBA Inputs'!AE46)*AD$14</f>
        <v>-5.4103333988698372</v>
      </c>
      <c r="AE35" s="106">
        <f>('CBA Inputs'!AF$44-'CBA Inputs'!AF46)*AE$14</f>
        <v>0</v>
      </c>
      <c r="AF35" s="106">
        <f>('CBA Inputs'!AG$44-'CBA Inputs'!AG46)*AF$14</f>
        <v>0</v>
      </c>
      <c r="AG35" s="106">
        <f>('CBA Inputs'!AH$44-'CBA Inputs'!AH46)*AG$14</f>
        <v>0</v>
      </c>
      <c r="AH35" s="106">
        <f>('CBA Inputs'!AI$44-'CBA Inputs'!AI46)*AH$14</f>
        <v>0</v>
      </c>
    </row>
    <row r="36" spans="2:34" x14ac:dyDescent="0.25">
      <c r="B36" s="114" t="str">
        <f>'Option inputs'!$C$17</f>
        <v>Option 1C</v>
      </c>
      <c r="C36" s="163" t="s">
        <v>35</v>
      </c>
      <c r="D36" s="123">
        <f>NPV(DiscountRate_ACTIVE,E36:AH36)/(1+DiscountRate_ACTIVE)^(FirstYear-BaseYear-2)*'Option inputs'!$F$15</f>
        <v>23657726.332188129</v>
      </c>
      <c r="E36" s="106">
        <f>('CBA Inputs'!F$44-'CBA Inputs'!F47)*E$14</f>
        <v>0</v>
      </c>
      <c r="F36" s="106">
        <f>('CBA Inputs'!G$44-'CBA Inputs'!G47)*F$14</f>
        <v>0.3662811741232872</v>
      </c>
      <c r="G36" s="106">
        <f>('CBA Inputs'!H$44-'CBA Inputs'!H47)*G$14</f>
        <v>-0.9690585546195507</v>
      </c>
      <c r="H36" s="106">
        <f>('CBA Inputs'!I$44-'CBA Inputs'!I47)*H$14</f>
        <v>4442130.8201560229</v>
      </c>
      <c r="I36" s="106">
        <f>('CBA Inputs'!J$44-'CBA Inputs'!J47)*I$14</f>
        <v>336312.62242843211</v>
      </c>
      <c r="J36" s="106">
        <f>('CBA Inputs'!K$44-'CBA Inputs'!K47)*J$14</f>
        <v>13076874.53827256</v>
      </c>
      <c r="K36" s="106">
        <f>('CBA Inputs'!L$44-'CBA Inputs'!L47)*K$14</f>
        <v>0.93282882687250646</v>
      </c>
      <c r="L36" s="106">
        <f>('CBA Inputs'!M$44-'CBA Inputs'!M47)*L$14</f>
        <v>0.98783628307787663</v>
      </c>
      <c r="M36" s="106">
        <f>('CBA Inputs'!N$44-'CBA Inputs'!N47)*M$14</f>
        <v>1.0491177655036075</v>
      </c>
      <c r="N36" s="106">
        <f>('CBA Inputs'!O$44-'CBA Inputs'!O47)*N$14</f>
        <v>-498702.70191239193</v>
      </c>
      <c r="O36" s="106">
        <f>('CBA Inputs'!P$44-'CBA Inputs'!P47)*O$14</f>
        <v>6845295.4239926934</v>
      </c>
      <c r="P36" s="106">
        <f>('CBA Inputs'!Q$44-'CBA Inputs'!Q47)*P$14</f>
        <v>2913733.6623807512</v>
      </c>
      <c r="Q36" s="106">
        <f>('CBA Inputs'!R$44-'CBA Inputs'!R47)*Q$14</f>
        <v>86403.574571786448</v>
      </c>
      <c r="R36" s="106">
        <f>('CBA Inputs'!S$44-'CBA Inputs'!S47)*R$14</f>
        <v>146549.51953064092</v>
      </c>
      <c r="S36" s="106">
        <f>('CBA Inputs'!T$44-'CBA Inputs'!T47)*S$14</f>
        <v>2286346.4906677715</v>
      </c>
      <c r="T36" s="106">
        <f>('CBA Inputs'!U$44-'CBA Inputs'!U47)*T$14</f>
        <v>1033433.259941363</v>
      </c>
      <c r="U36" s="106">
        <f>('CBA Inputs'!V$44-'CBA Inputs'!V47)*U$14</f>
        <v>309961.26920515299</v>
      </c>
      <c r="V36" s="106">
        <f>('CBA Inputs'!W$44-'CBA Inputs'!W47)*V$14</f>
        <v>1.7463922749822602</v>
      </c>
      <c r="W36" s="106">
        <f>('CBA Inputs'!X$44-'CBA Inputs'!X47)*W$14</f>
        <v>1.8471258366209824</v>
      </c>
      <c r="X36" s="106">
        <f>('CBA Inputs'!Y$44-'CBA Inputs'!Y47)*X$14</f>
        <v>3.1732214074581861</v>
      </c>
      <c r="Y36" s="106">
        <f>('CBA Inputs'!Z$44-'CBA Inputs'!Z47)*Y$14</f>
        <v>5334390.0346131362</v>
      </c>
      <c r="Z36" s="106">
        <f>('CBA Inputs'!AA$44-'CBA Inputs'!AA47)*Z$14</f>
        <v>412867.76384004205</v>
      </c>
      <c r="AA36" s="106">
        <f>('CBA Inputs'!AB$44-'CBA Inputs'!AB47)*AA$14</f>
        <v>492452.71041932702</v>
      </c>
      <c r="AB36" s="106">
        <f>('CBA Inputs'!AC$44-'CBA Inputs'!AC47)*AB$14</f>
        <v>552020.02073620632</v>
      </c>
      <c r="AC36" s="106">
        <f>('CBA Inputs'!AD$44-'CBA Inputs'!AD47)*AC$14</f>
        <v>-1594713.0809740722</v>
      </c>
      <c r="AD36" s="106">
        <f>('CBA Inputs'!AE$44-'CBA Inputs'!AE47)*AD$14</f>
        <v>2.7481209573364862</v>
      </c>
      <c r="AE36" s="106">
        <f>('CBA Inputs'!AF$44-'CBA Inputs'!AF47)*AE$14</f>
        <v>0</v>
      </c>
      <c r="AF36" s="106">
        <f>('CBA Inputs'!AG$44-'CBA Inputs'!AG47)*AF$14</f>
        <v>0</v>
      </c>
      <c r="AG36" s="106">
        <f>('CBA Inputs'!AH$44-'CBA Inputs'!AH47)*AG$14</f>
        <v>0</v>
      </c>
      <c r="AH36" s="106">
        <f>('CBA Inputs'!AI$44-'CBA Inputs'!AI47)*AH$14</f>
        <v>0</v>
      </c>
    </row>
    <row r="37" spans="2:34" x14ac:dyDescent="0.25">
      <c r="B37" s="114" t="str">
        <f>'Option inputs'!$C$18</f>
        <v>Option 1D</v>
      </c>
      <c r="C37" s="163" t="s">
        <v>35</v>
      </c>
      <c r="D37" s="123">
        <f>NPV(DiscountRate_ACTIVE,E37:AH37)/(1+DiscountRate_ACTIVE)^(FirstYear-BaseYear-2)*'Option inputs'!$F$15</f>
        <v>12904865.374737756</v>
      </c>
      <c r="E37" s="106">
        <f>('CBA Inputs'!F$44-'CBA Inputs'!F48)*E$14</f>
        <v>0</v>
      </c>
      <c r="F37" s="106">
        <f>('CBA Inputs'!G$44-'CBA Inputs'!G48)*F$14</f>
        <v>0.41725195595063269</v>
      </c>
      <c r="G37" s="106">
        <f>('CBA Inputs'!H$44-'CBA Inputs'!H48)*G$14</f>
        <v>-0.84997108019888401</v>
      </c>
      <c r="H37" s="106">
        <f>('CBA Inputs'!I$44-'CBA Inputs'!I48)*H$14</f>
        <v>2909230.8266757131</v>
      </c>
      <c r="I37" s="106">
        <f>('CBA Inputs'!J$44-'CBA Inputs'!J48)*I$14</f>
        <v>-4150372.4799297452</v>
      </c>
      <c r="J37" s="106">
        <f>('CBA Inputs'!K$44-'CBA Inputs'!K48)*J$14</f>
        <v>8842377.6780905128</v>
      </c>
      <c r="K37" s="106">
        <f>('CBA Inputs'!L$44-'CBA Inputs'!L48)*K$14</f>
        <v>1.1013595580175133</v>
      </c>
      <c r="L37" s="106">
        <f>('CBA Inputs'!M$44-'CBA Inputs'!M48)*L$14</f>
        <v>1.1663036392219936</v>
      </c>
      <c r="M37" s="106">
        <f>('CBA Inputs'!N$44-'CBA Inputs'!N48)*M$14</f>
        <v>1.2386572799826094</v>
      </c>
      <c r="N37" s="106">
        <f>('CBA Inputs'!O$44-'CBA Inputs'!O48)*N$14</f>
        <v>-498764.13736993447</v>
      </c>
      <c r="O37" s="106">
        <f>('CBA Inputs'!P$44-'CBA Inputs'!P48)*O$14</f>
        <v>6860749.2247712612</v>
      </c>
      <c r="P37" s="106">
        <f>('CBA Inputs'!Q$44-'CBA Inputs'!Q48)*P$14</f>
        <v>1836475.7426822279</v>
      </c>
      <c r="Q37" s="106">
        <f>('CBA Inputs'!R$44-'CBA Inputs'!R48)*Q$14</f>
        <v>130281.85665969364</v>
      </c>
      <c r="R37" s="106">
        <f>('CBA Inputs'!S$44-'CBA Inputs'!S48)*R$14</f>
        <v>248831.52385124378</v>
      </c>
      <c r="S37" s="106">
        <f>('CBA Inputs'!T$44-'CBA Inputs'!T48)*S$14</f>
        <v>137532.88835166395</v>
      </c>
      <c r="T37" s="106">
        <f>('CBA Inputs'!U$44-'CBA Inputs'!U48)*T$14</f>
        <v>1033433.5410071524</v>
      </c>
      <c r="U37" s="106">
        <f>('CBA Inputs'!V$44-'CBA Inputs'!V48)*U$14</f>
        <v>357315.29304766655</v>
      </c>
      <c r="V37" s="106">
        <f>('CBA Inputs'!W$44-'CBA Inputs'!W48)*V$14</f>
        <v>2.0618998229865793</v>
      </c>
      <c r="W37" s="106">
        <f>('CBA Inputs'!X$44-'CBA Inputs'!X48)*W$14</f>
        <v>2.1808327060255461</v>
      </c>
      <c r="X37" s="106">
        <f>('CBA Inputs'!Y$44-'CBA Inputs'!Y48)*X$14</f>
        <v>-27.003290636464953</v>
      </c>
      <c r="Y37" s="106">
        <f>('CBA Inputs'!Z$44-'CBA Inputs'!Z48)*Y$14</f>
        <v>207374.76091560721</v>
      </c>
      <c r="Z37" s="106">
        <f>('CBA Inputs'!AA$44-'CBA Inputs'!AA48)*Z$14</f>
        <v>1570819.5205623806</v>
      </c>
      <c r="AA37" s="106">
        <f>('CBA Inputs'!AB$44-'CBA Inputs'!AB48)*AA$14</f>
        <v>1102997.1896614209</v>
      </c>
      <c r="AB37" s="106">
        <f>('CBA Inputs'!AC$44-'CBA Inputs'!AC48)*AB$14</f>
        <v>479524.23892941698</v>
      </c>
      <c r="AC37" s="106">
        <f>('CBA Inputs'!AD$44-'CBA Inputs'!AD48)*AC$14</f>
        <v>185752.6317999661</v>
      </c>
      <c r="AD37" s="106">
        <f>('CBA Inputs'!AE$44-'CBA Inputs'!AE48)*AD$14</f>
        <v>3.2445954027355679</v>
      </c>
      <c r="AE37" s="106">
        <f>('CBA Inputs'!AF$44-'CBA Inputs'!AF48)*AE$14</f>
        <v>0</v>
      </c>
      <c r="AF37" s="106">
        <f>('CBA Inputs'!AG$44-'CBA Inputs'!AG48)*AF$14</f>
        <v>0</v>
      </c>
      <c r="AG37" s="106">
        <f>('CBA Inputs'!AH$44-'CBA Inputs'!AH48)*AG$14</f>
        <v>0</v>
      </c>
      <c r="AH37" s="106">
        <f>('CBA Inputs'!AI$44-'CBA Inputs'!AI48)*AH$14</f>
        <v>0</v>
      </c>
    </row>
    <row r="38" spans="2:34" x14ac:dyDescent="0.25">
      <c r="B38" s="114"/>
      <c r="C38" s="114"/>
      <c r="D38" s="123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</row>
    <row r="39" spans="2:34" ht="13" x14ac:dyDescent="0.3">
      <c r="B39" s="122" t="str">
        <f>'CBA Inputs'!B71</f>
        <v>Difference in timing of unrelated expenditure</v>
      </c>
      <c r="C39" s="122"/>
      <c r="D39" s="123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</row>
    <row r="40" spans="2:34" x14ac:dyDescent="0.25">
      <c r="B40" s="114" t="str">
        <f>'Option inputs'!$C$15</f>
        <v>Option 1A</v>
      </c>
      <c r="C40" s="163" t="s">
        <v>35</v>
      </c>
      <c r="D40" s="123">
        <f>NPV(DiscountRate_ACTIVE,E40:AH40)/(1+DiscountRate_ACTIVE)^(FirstYear-BaseYear-2)*'Option inputs'!$F$15</f>
        <v>26096271.043130614</v>
      </c>
      <c r="E40" s="106">
        <f>('CBA Inputs'!F$74-'CBA Inputs'!F75)*E$14</f>
        <v>0</v>
      </c>
      <c r="F40" s="106">
        <f>('CBA Inputs'!G$74-'CBA Inputs'!G75)*F$14</f>
        <v>9.4592198379995072</v>
      </c>
      <c r="G40" s="106">
        <f>('CBA Inputs'!H$74-'CBA Inputs'!H75)*G$14</f>
        <v>0.78795951372646933</v>
      </c>
      <c r="H40" s="106">
        <f>('CBA Inputs'!I$74-'CBA Inputs'!I75)*H$14</f>
        <v>0.83298097855112463</v>
      </c>
      <c r="I40" s="106">
        <f>('CBA Inputs'!J$74-'CBA Inputs'!J75)*I$14</f>
        <v>1.7117236926688888</v>
      </c>
      <c r="J40" s="106">
        <f>('CBA Inputs'!K$74-'CBA Inputs'!K75)*J$14</f>
        <v>1.1954557766422484</v>
      </c>
      <c r="K40" s="106">
        <f>('CBA Inputs'!L$74-'CBA Inputs'!L75)*K$14</f>
        <v>1.2264790417364579</v>
      </c>
      <c r="L40" s="106">
        <f>('CBA Inputs'!M$74-'CBA Inputs'!M75)*L$14</f>
        <v>1.4020568116586447</v>
      </c>
      <c r="M40" s="106">
        <f>('CBA Inputs'!N$74-'CBA Inputs'!N75)*M$14</f>
        <v>2.1719305954212755</v>
      </c>
      <c r="N40" s="106">
        <f>('CBA Inputs'!O$74-'CBA Inputs'!O75)*N$14</f>
        <v>35567700.858894184</v>
      </c>
      <c r="O40" s="106">
        <f>('CBA Inputs'!P$74-'CBA Inputs'!P75)*O$14</f>
        <v>4.195667706212955</v>
      </c>
      <c r="P40" s="106">
        <f>('CBA Inputs'!Q$74-'CBA Inputs'!Q75)*P$14</f>
        <v>0.37560016891832404</v>
      </c>
      <c r="Q40" s="106">
        <f>('CBA Inputs'!R$74-'CBA Inputs'!R75)*Q$14</f>
        <v>3995069.2457342148</v>
      </c>
      <c r="R40" s="106">
        <f>('CBA Inputs'!S$74-'CBA Inputs'!S75)*R$14</f>
        <v>-9797813.0754730105</v>
      </c>
      <c r="S40" s="106">
        <f>('CBA Inputs'!T$74-'CBA Inputs'!T75)*S$14</f>
        <v>8865811.6128076613</v>
      </c>
      <c r="T40" s="106">
        <f>('CBA Inputs'!U$74-'CBA Inputs'!U75)*T$14</f>
        <v>0</v>
      </c>
      <c r="U40" s="106">
        <f>('CBA Inputs'!V$74-'CBA Inputs'!V75)*U$14</f>
        <v>35919721.164315224</v>
      </c>
      <c r="V40" s="106">
        <f>('CBA Inputs'!W$74-'CBA Inputs'!W75)*V$14</f>
        <v>-2785265.2638478056</v>
      </c>
      <c r="W40" s="106">
        <f>('CBA Inputs'!X$74-'CBA Inputs'!X75)*W$14</f>
        <v>0.3707726753815499</v>
      </c>
      <c r="X40" s="106">
        <f>('CBA Inputs'!Y$74-'CBA Inputs'!Y75)*X$14</f>
        <v>1.6110551780573383</v>
      </c>
      <c r="Y40" s="106">
        <f>('CBA Inputs'!Z$74-'CBA Inputs'!Z75)*Y$14</f>
        <v>-13321034.422757596</v>
      </c>
      <c r="Z40" s="106">
        <f>('CBA Inputs'!AA$74-'CBA Inputs'!AA75)*Z$14</f>
        <v>-4654427.2227072744</v>
      </c>
      <c r="AA40" s="106">
        <f>('CBA Inputs'!AB$74-'CBA Inputs'!AB75)*AA$14</f>
        <v>3.3423396932475864</v>
      </c>
      <c r="AB40" s="106">
        <f>('CBA Inputs'!AC$74-'CBA Inputs'!AC75)*AB$14</f>
        <v>13275243.251173876</v>
      </c>
      <c r="AC40" s="106">
        <f>('CBA Inputs'!AD$74-'CBA Inputs'!AD75)*AC$14</f>
        <v>-37155978.588137209</v>
      </c>
      <c r="AD40" s="106">
        <f>('CBA Inputs'!AE$74-'CBA Inputs'!AE75)*AD$14</f>
        <v>1005314.900319675</v>
      </c>
      <c r="AE40" s="106">
        <f>('CBA Inputs'!AF$74-'CBA Inputs'!AF75)*AE$14</f>
        <v>0</v>
      </c>
      <c r="AF40" s="106">
        <f>('CBA Inputs'!AG$74-'CBA Inputs'!AG75)*AF$14</f>
        <v>0</v>
      </c>
      <c r="AG40" s="106">
        <f>('CBA Inputs'!AH$74-'CBA Inputs'!AH75)*AG$14</f>
        <v>0</v>
      </c>
      <c r="AH40" s="106">
        <f>('CBA Inputs'!AI$74-'CBA Inputs'!AI75)*AH$14</f>
        <v>0</v>
      </c>
    </row>
    <row r="41" spans="2:34" x14ac:dyDescent="0.25">
      <c r="B41" s="114" t="str">
        <f>'Option inputs'!$C$16</f>
        <v>Option 1B</v>
      </c>
      <c r="C41" s="163" t="s">
        <v>35</v>
      </c>
      <c r="D41" s="123">
        <f>NPV(DiscountRate_ACTIVE,E41:AH41)/(1+DiscountRate_ACTIVE)^(FirstYear-BaseYear-2)*'Option inputs'!$F$15</f>
        <v>19941246.721018162</v>
      </c>
      <c r="E41" s="106">
        <f>('CBA Inputs'!F$74-'CBA Inputs'!F76)*E$14</f>
        <v>0</v>
      </c>
      <c r="F41" s="106">
        <f>('CBA Inputs'!G$74-'CBA Inputs'!G76)*F$14</f>
        <v>-16.420922521027517</v>
      </c>
      <c r="G41" s="106">
        <f>('CBA Inputs'!H$74-'CBA Inputs'!H76)*G$14</f>
        <v>-1.5478763672921081</v>
      </c>
      <c r="H41" s="106">
        <f>('CBA Inputs'!I$74-'CBA Inputs'!I76)*H$14</f>
        <v>-1.2779343609334406</v>
      </c>
      <c r="I41" s="106">
        <f>('CBA Inputs'!J$74-'CBA Inputs'!J76)*I$14</f>
        <v>-2.8909411359672759</v>
      </c>
      <c r="J41" s="106">
        <f>('CBA Inputs'!K$74-'CBA Inputs'!K76)*J$14</f>
        <v>-2.0708055209061236</v>
      </c>
      <c r="K41" s="106">
        <f>('CBA Inputs'!L$74-'CBA Inputs'!L76)*K$14</f>
        <v>-2.1980956687415278</v>
      </c>
      <c r="L41" s="106">
        <f>('CBA Inputs'!M$74-'CBA Inputs'!M76)*L$14</f>
        <v>-1.730284391063527</v>
      </c>
      <c r="M41" s="106">
        <f>('CBA Inputs'!N$74-'CBA Inputs'!N76)*M$14</f>
        <v>-3.7910244962109396</v>
      </c>
      <c r="N41" s="106">
        <f>('CBA Inputs'!O$74-'CBA Inputs'!O76)*N$14</f>
        <v>22087128.263019264</v>
      </c>
      <c r="O41" s="106">
        <f>('CBA Inputs'!P$74-'CBA Inputs'!P76)*O$14</f>
        <v>-7.4837002731452156</v>
      </c>
      <c r="P41" s="106">
        <f>('CBA Inputs'!Q$74-'CBA Inputs'!Q76)*P$14</f>
        <v>-0.686843444508212</v>
      </c>
      <c r="Q41" s="106">
        <f>('CBA Inputs'!R$74-'CBA Inputs'!R76)*Q$14</f>
        <v>6940350.6148395538</v>
      </c>
      <c r="R41" s="106">
        <f>('CBA Inputs'!S$74-'CBA Inputs'!S76)*R$14</f>
        <v>3297812.1236966252</v>
      </c>
      <c r="S41" s="106">
        <f>('CBA Inputs'!T$74-'CBA Inputs'!T76)*S$14</f>
        <v>18245300.828155369</v>
      </c>
      <c r="T41" s="106">
        <f>('CBA Inputs'!U$74-'CBA Inputs'!U76)*T$14</f>
        <v>-2.6035206419029774E-2</v>
      </c>
      <c r="U41" s="106">
        <f>('CBA Inputs'!V$74-'CBA Inputs'!V76)*U$14</f>
        <v>10919011.14740634</v>
      </c>
      <c r="V41" s="106">
        <f>('CBA Inputs'!W$74-'CBA Inputs'!W76)*V$14</f>
        <v>-17427337.718894944</v>
      </c>
      <c r="W41" s="106">
        <f>('CBA Inputs'!X$74-'CBA Inputs'!X76)*W$14</f>
        <v>-0.76396007269934685</v>
      </c>
      <c r="X41" s="106">
        <f>('CBA Inputs'!Y$74-'CBA Inputs'!Y76)*X$14</f>
        <v>-2.5311750064572425</v>
      </c>
      <c r="Y41" s="106">
        <f>('CBA Inputs'!Z$74-'CBA Inputs'!Z76)*Y$14</f>
        <v>-2651073.7176079452</v>
      </c>
      <c r="Z41" s="106">
        <f>('CBA Inputs'!AA$74-'CBA Inputs'!AA76)*Z$14</f>
        <v>-10369595.959024496</v>
      </c>
      <c r="AA41" s="106">
        <f>('CBA Inputs'!AB$74-'CBA Inputs'!AB76)*AA$14</f>
        <v>-6.2562914069867537</v>
      </c>
      <c r="AB41" s="106">
        <f>('CBA Inputs'!AC$74-'CBA Inputs'!AC76)*AB$14</f>
        <v>911593.22785841674</v>
      </c>
      <c r="AC41" s="106">
        <f>('CBA Inputs'!AD$74-'CBA Inputs'!AD76)*AC$14</f>
        <v>-6752600.9049832821</v>
      </c>
      <c r="AD41" s="106">
        <f>('CBA Inputs'!AE$74-'CBA Inputs'!AE76)*AD$14</f>
        <v>181217.76654951088</v>
      </c>
      <c r="AE41" s="106">
        <f>('CBA Inputs'!AF$74-'CBA Inputs'!AF76)*AE$14</f>
        <v>0</v>
      </c>
      <c r="AF41" s="106">
        <f>('CBA Inputs'!AG$74-'CBA Inputs'!AG76)*AF$14</f>
        <v>0</v>
      </c>
      <c r="AG41" s="106">
        <f>('CBA Inputs'!AH$74-'CBA Inputs'!AH76)*AG$14</f>
        <v>0</v>
      </c>
      <c r="AH41" s="106">
        <f>('CBA Inputs'!AI$74-'CBA Inputs'!AI76)*AH$14</f>
        <v>0</v>
      </c>
    </row>
    <row r="42" spans="2:34" x14ac:dyDescent="0.25">
      <c r="B42" s="114" t="str">
        <f>'Option inputs'!$C$17</f>
        <v>Option 1C</v>
      </c>
      <c r="C42" s="163" t="s">
        <v>35</v>
      </c>
      <c r="D42" s="123">
        <f>NPV(DiscountRate_ACTIVE,E42:AH42)/(1+DiscountRate_ACTIVE)^(FirstYear-BaseYear-2)*'Option inputs'!$F$15</f>
        <v>-1475020.6571979159</v>
      </c>
      <c r="E42" s="106">
        <f>('CBA Inputs'!F$74-'CBA Inputs'!F77)*E$14</f>
        <v>0</v>
      </c>
      <c r="F42" s="106">
        <f>('CBA Inputs'!G$74-'CBA Inputs'!G77)*F$14</f>
        <v>8.346039515571416</v>
      </c>
      <c r="G42" s="106">
        <f>('CBA Inputs'!H$74-'CBA Inputs'!H77)*G$14</f>
        <v>0.69083092738657192</v>
      </c>
      <c r="H42" s="106">
        <f>('CBA Inputs'!I$74-'CBA Inputs'!I77)*H$14</f>
        <v>0.65910080522825698</v>
      </c>
      <c r="I42" s="106">
        <f>('CBA Inputs'!J$74-'CBA Inputs'!J77)*I$14</f>
        <v>1.5918070676626956</v>
      </c>
      <c r="J42" s="106">
        <f>('CBA Inputs'!K$74-'CBA Inputs'!K77)*J$14</f>
        <v>1.0520020691369154</v>
      </c>
      <c r="K42" s="106">
        <f>('CBA Inputs'!L$74-'CBA Inputs'!L77)*K$14</f>
        <v>1.1116945830727185</v>
      </c>
      <c r="L42" s="106">
        <f>('CBA Inputs'!M$74-'CBA Inputs'!M77)*L$14</f>
        <v>1.1530451913650279</v>
      </c>
      <c r="M42" s="106">
        <f>('CBA Inputs'!N$74-'CBA Inputs'!N77)*M$14</f>
        <v>1.9294310855015024</v>
      </c>
      <c r="N42" s="106">
        <f>('CBA Inputs'!O$74-'CBA Inputs'!O77)*N$14</f>
        <v>-3293358.0426269472</v>
      </c>
      <c r="O42" s="106">
        <f>('CBA Inputs'!P$74-'CBA Inputs'!P77)*O$14</f>
        <v>3.7174454929350169</v>
      </c>
      <c r="P42" s="106">
        <f>('CBA Inputs'!Q$74-'CBA Inputs'!Q77)*P$14</f>
        <v>0.37877581536912425</v>
      </c>
      <c r="Q42" s="106">
        <f>('CBA Inputs'!R$74-'CBA Inputs'!R77)*Q$14</f>
        <v>19553652.357025862</v>
      </c>
      <c r="R42" s="106">
        <f>('CBA Inputs'!S$74-'CBA Inputs'!S77)*R$14</f>
        <v>-8824326.6897397339</v>
      </c>
      <c r="S42" s="106">
        <f>('CBA Inputs'!T$74-'CBA Inputs'!T77)*S$14</f>
        <v>-5921616.8765692115</v>
      </c>
      <c r="T42" s="106">
        <f>('CBA Inputs'!U$74-'CBA Inputs'!U77)*T$14</f>
        <v>0</v>
      </c>
      <c r="U42" s="106">
        <f>('CBA Inputs'!V$74-'CBA Inputs'!V77)*U$14</f>
        <v>-1149007.5922760963</v>
      </c>
      <c r="V42" s="106">
        <f>('CBA Inputs'!W$74-'CBA Inputs'!W77)*V$14</f>
        <v>-2148078.5402775463</v>
      </c>
      <c r="W42" s="106">
        <f>('CBA Inputs'!X$74-'CBA Inputs'!X77)*W$14</f>
        <v>0.3670506027550014</v>
      </c>
      <c r="X42" s="106">
        <f>('CBA Inputs'!Y$74-'CBA Inputs'!Y77)*X$14</f>
        <v>1.3704100617226846</v>
      </c>
      <c r="Y42" s="106">
        <f>('CBA Inputs'!Z$74-'CBA Inputs'!Z77)*Y$14</f>
        <v>684841.50336506963</v>
      </c>
      <c r="Z42" s="106">
        <f>('CBA Inputs'!AA$74-'CBA Inputs'!AA77)*Z$14</f>
        <v>0.73167126589156706</v>
      </c>
      <c r="AA42" s="106">
        <f>('CBA Inputs'!AB$74-'CBA Inputs'!AB77)*AA$14</f>
        <v>2.7604676239164805</v>
      </c>
      <c r="AB42" s="106">
        <f>('CBA Inputs'!AC$74-'CBA Inputs'!AC77)*AB$14</f>
        <v>6757394.7449520081</v>
      </c>
      <c r="AC42" s="106">
        <f>('CBA Inputs'!AD$74-'CBA Inputs'!AD77)*AC$14</f>
        <v>-13447129.046586782</v>
      </c>
      <c r="AD42" s="106">
        <f>('CBA Inputs'!AE$74-'CBA Inputs'!AE77)*AD$14</f>
        <v>958414.27201165445</v>
      </c>
      <c r="AE42" s="106">
        <f>('CBA Inputs'!AF$74-'CBA Inputs'!AF77)*AE$14</f>
        <v>0</v>
      </c>
      <c r="AF42" s="106">
        <f>('CBA Inputs'!AG$74-'CBA Inputs'!AG77)*AF$14</f>
        <v>0</v>
      </c>
      <c r="AG42" s="106">
        <f>('CBA Inputs'!AH$74-'CBA Inputs'!AH77)*AG$14</f>
        <v>0</v>
      </c>
      <c r="AH42" s="106">
        <f>('CBA Inputs'!AI$74-'CBA Inputs'!AI77)*AH$14</f>
        <v>0</v>
      </c>
    </row>
    <row r="43" spans="2:34" x14ac:dyDescent="0.25">
      <c r="B43" s="114" t="str">
        <f>'Option inputs'!$C$18</f>
        <v>Option 1D</v>
      </c>
      <c r="C43" s="163" t="s">
        <v>35</v>
      </c>
      <c r="D43" s="123">
        <f>NPV(DiscountRate_ACTIVE,E43:AH43)/(1+DiscountRate_ACTIVE)^(FirstYear-BaseYear-2)*'Option inputs'!$F$15</f>
        <v>-1044279.0362697167</v>
      </c>
      <c r="E43" s="106">
        <f>('CBA Inputs'!F$74-'CBA Inputs'!F78)*E$14</f>
        <v>0</v>
      </c>
      <c r="F43" s="106">
        <f>('CBA Inputs'!G$74-'CBA Inputs'!G78)*F$14</f>
        <v>9.8542510867672526</v>
      </c>
      <c r="G43" s="106">
        <f>('CBA Inputs'!H$74-'CBA Inputs'!H78)*G$14</f>
        <v>0.90259472720674172</v>
      </c>
      <c r="H43" s="106">
        <f>('CBA Inputs'!I$74-'CBA Inputs'!I78)*H$14</f>
        <v>0.91398957709790418</v>
      </c>
      <c r="I43" s="106">
        <f>('CBA Inputs'!J$74-'CBA Inputs'!J78)*I$14</f>
        <v>1.8580050101603021</v>
      </c>
      <c r="J43" s="106">
        <f>('CBA Inputs'!K$74-'CBA Inputs'!K78)*J$14</f>
        <v>1.2423954116904132</v>
      </c>
      <c r="K43" s="106">
        <f>('CBA Inputs'!L$74-'CBA Inputs'!L78)*K$14</f>
        <v>1.3078355038229157</v>
      </c>
      <c r="L43" s="106">
        <f>('CBA Inputs'!M$74-'CBA Inputs'!M78)*L$14</f>
        <v>1.3451167316540782</v>
      </c>
      <c r="M43" s="106">
        <f>('CBA Inputs'!N$74-'CBA Inputs'!N78)*M$14</f>
        <v>2.2565656816809887</v>
      </c>
      <c r="N43" s="106">
        <f>('CBA Inputs'!O$74-'CBA Inputs'!O78)*N$14</f>
        <v>-3296732.4942474961</v>
      </c>
      <c r="O43" s="106">
        <f>('CBA Inputs'!P$74-'CBA Inputs'!P78)*O$14</f>
        <v>4.4149920835338978</v>
      </c>
      <c r="P43" s="106">
        <f>('CBA Inputs'!Q$74-'CBA Inputs'!Q78)*P$14</f>
        <v>0.44986588478022399</v>
      </c>
      <c r="Q43" s="106">
        <f>('CBA Inputs'!R$74-'CBA Inputs'!R78)*Q$14</f>
        <v>11295151.652866125</v>
      </c>
      <c r="R43" s="106">
        <f>('CBA Inputs'!S$74-'CBA Inputs'!S78)*R$14</f>
        <v>2501864.5794292986</v>
      </c>
      <c r="S43" s="106">
        <f>('CBA Inputs'!T$74-'CBA Inputs'!T78)*S$14</f>
        <v>-1302093.3418249786</v>
      </c>
      <c r="T43" s="106">
        <f>('CBA Inputs'!U$74-'CBA Inputs'!U78)*T$14</f>
        <v>0</v>
      </c>
      <c r="U43" s="106">
        <f>('CBA Inputs'!V$74-'CBA Inputs'!V78)*U$14</f>
        <v>-7298380.582890749</v>
      </c>
      <c r="V43" s="106">
        <f>('CBA Inputs'!W$74-'CBA Inputs'!W78)*V$14</f>
        <v>-1821718.3945702221</v>
      </c>
      <c r="W43" s="106">
        <f>('CBA Inputs'!X$74-'CBA Inputs'!X78)*W$14</f>
        <v>0.42613523712700824</v>
      </c>
      <c r="X43" s="106">
        <f>('CBA Inputs'!Y$74-'CBA Inputs'!Y78)*X$14</f>
        <v>1.6036933782684444</v>
      </c>
      <c r="Y43" s="106">
        <f>('CBA Inputs'!Z$74-'CBA Inputs'!Z78)*Y$14</f>
        <v>1617805.056481421</v>
      </c>
      <c r="Z43" s="106">
        <f>('CBA Inputs'!AA$74-'CBA Inputs'!AA78)*Z$14</f>
        <v>0.88389386451674457</v>
      </c>
      <c r="AA43" s="106">
        <f>('CBA Inputs'!AB$74-'CBA Inputs'!AB78)*AA$14</f>
        <v>3.7695876493933689</v>
      </c>
      <c r="AB43" s="106">
        <f>('CBA Inputs'!AC$74-'CBA Inputs'!AC78)*AB$14</f>
        <v>-896771.86046043783</v>
      </c>
      <c r="AC43" s="106">
        <f>('CBA Inputs'!AD$74-'CBA Inputs'!AD78)*AC$14</f>
        <v>-8357241.2999454439</v>
      </c>
      <c r="AD43" s="106">
        <f>('CBA Inputs'!AE$74-'CBA Inputs'!AE78)*AD$14</f>
        <v>595567.25081744976</v>
      </c>
      <c r="AE43" s="106">
        <f>('CBA Inputs'!AF$74-'CBA Inputs'!AF78)*AE$14</f>
        <v>0</v>
      </c>
      <c r="AF43" s="106">
        <f>('CBA Inputs'!AG$74-'CBA Inputs'!AG78)*AF$14</f>
        <v>0</v>
      </c>
      <c r="AG43" s="106">
        <f>('CBA Inputs'!AH$74-'CBA Inputs'!AH78)*AG$14</f>
        <v>0</v>
      </c>
      <c r="AH43" s="106">
        <f>('CBA Inputs'!AI$74-'CBA Inputs'!AI78)*AH$14</f>
        <v>0</v>
      </c>
    </row>
    <row r="44" spans="2:34" x14ac:dyDescent="0.25">
      <c r="B44" s="156"/>
      <c r="C44" s="156"/>
      <c r="D44" s="123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</row>
    <row r="45" spans="2:34" ht="13" x14ac:dyDescent="0.3">
      <c r="B45" s="122" t="str">
        <f>'CBA Inputs'!B101</f>
        <v xml:space="preserve">Fuel consumption from generation dispatch </v>
      </c>
      <c r="C45" s="122"/>
      <c r="D45" s="123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</row>
    <row r="46" spans="2:34" x14ac:dyDescent="0.25">
      <c r="B46" s="114" t="str">
        <f>'Option inputs'!$C$15</f>
        <v>Option 1A</v>
      </c>
      <c r="C46" s="163" t="s">
        <v>35</v>
      </c>
      <c r="D46" s="123">
        <f>NPV(DiscountRate_ACTIVE,E46:AH46)/(1+DiscountRate_ACTIVE)^(FirstYear-BaseYear-2)*'Option inputs'!$F$15</f>
        <v>63457612.565589324</v>
      </c>
      <c r="E46" s="106">
        <f>('CBA Inputs'!F$104-'CBA Inputs'!F105)*E$14</f>
        <v>0</v>
      </c>
      <c r="F46" s="106">
        <f>('CBA Inputs'!G$104-'CBA Inputs'!G105)*F$14</f>
        <v>-20.771078109741211</v>
      </c>
      <c r="G46" s="106">
        <f>('CBA Inputs'!H$104-'CBA Inputs'!H105)*G$14</f>
        <v>38950.090555667877</v>
      </c>
      <c r="H46" s="106">
        <f>('CBA Inputs'!I$104-'CBA Inputs'!I105)*H$14</f>
        <v>5751396.4558663368</v>
      </c>
      <c r="I46" s="106">
        <f>('CBA Inputs'!J$104-'CBA Inputs'!J105)*I$14</f>
        <v>6421066.7215399742</v>
      </c>
      <c r="J46" s="106">
        <f>('CBA Inputs'!K$104-'CBA Inputs'!K105)*J$14</f>
        <v>6931777.0918259621</v>
      </c>
      <c r="K46" s="106">
        <f>('CBA Inputs'!L$104-'CBA Inputs'!L105)*K$14</f>
        <v>10407066.2038517</v>
      </c>
      <c r="L46" s="106">
        <f>('CBA Inputs'!M$104-'CBA Inputs'!M105)*L$14</f>
        <v>7623705.4406652451</v>
      </c>
      <c r="M46" s="106">
        <f>('CBA Inputs'!N$104-'CBA Inputs'!N105)*M$14</f>
        <v>9083578.5407090187</v>
      </c>
      <c r="N46" s="106">
        <f>('CBA Inputs'!O$104-'CBA Inputs'!O105)*N$14</f>
        <v>-4267537.4385471344</v>
      </c>
      <c r="O46" s="106">
        <f>('CBA Inputs'!P$104-'CBA Inputs'!P105)*O$14</f>
        <v>-11207626.622312069</v>
      </c>
      <c r="P46" s="106">
        <f>('CBA Inputs'!Q$104-'CBA Inputs'!Q105)*P$14</f>
        <v>-13555355.963457108</v>
      </c>
      <c r="Q46" s="106">
        <f>('CBA Inputs'!R$104-'CBA Inputs'!R105)*Q$14</f>
        <v>-9180094.6487760544</v>
      </c>
      <c r="R46" s="106">
        <f>('CBA Inputs'!S$104-'CBA Inputs'!S105)*R$14</f>
        <v>12376624.577317715</v>
      </c>
      <c r="S46" s="106">
        <f>('CBA Inputs'!T$104-'CBA Inputs'!T105)*S$14</f>
        <v>2130184.1417150497</v>
      </c>
      <c r="T46" s="106">
        <f>('CBA Inputs'!U$104-'CBA Inputs'!U105)*T$14</f>
        <v>-19393009.69004631</v>
      </c>
      <c r="U46" s="106">
        <f>('CBA Inputs'!V$104-'CBA Inputs'!V105)*U$14</f>
        <v>-12062123.707467556</v>
      </c>
      <c r="V46" s="106">
        <f>('CBA Inputs'!W$104-'CBA Inputs'!W105)*V$14</f>
        <v>19080104.688132763</v>
      </c>
      <c r="W46" s="106">
        <f>('CBA Inputs'!X$104-'CBA Inputs'!X105)*W$14</f>
        <v>14138010.729484081</v>
      </c>
      <c r="X46" s="106">
        <f>('CBA Inputs'!Y$104-'CBA Inputs'!Y105)*X$14</f>
        <v>7591431.3912129402</v>
      </c>
      <c r="Y46" s="106">
        <f>('CBA Inputs'!Z$104-'CBA Inputs'!Z105)*Y$14</f>
        <v>12390147.965401649</v>
      </c>
      <c r="Z46" s="106">
        <f>('CBA Inputs'!AA$104-'CBA Inputs'!AA105)*Z$14</f>
        <v>27631003.240487099</v>
      </c>
      <c r="AA46" s="106">
        <f>('CBA Inputs'!AB$104-'CBA Inputs'!AB105)*AA$14</f>
        <v>12276003.152264595</v>
      </c>
      <c r="AB46" s="106">
        <f>('CBA Inputs'!AC$104-'CBA Inputs'!AC105)*AB$14</f>
        <v>-6385772.4601264</v>
      </c>
      <c r="AC46" s="106">
        <f>('CBA Inputs'!AD$104-'CBA Inputs'!AD105)*AC$14</f>
        <v>54367392.467200756</v>
      </c>
      <c r="AD46" s="106">
        <f>('CBA Inputs'!AE$104-'CBA Inputs'!AE105)*AD$14</f>
        <v>45603138.345723152</v>
      </c>
      <c r="AE46" s="106">
        <f>('CBA Inputs'!AF$104-'CBA Inputs'!AF105)*AE$14</f>
        <v>0</v>
      </c>
      <c r="AF46" s="106">
        <f>('CBA Inputs'!AG$104-'CBA Inputs'!AG105)*AF$14</f>
        <v>0</v>
      </c>
      <c r="AG46" s="106">
        <f>('CBA Inputs'!AH$104-'CBA Inputs'!AH105)*AG$14</f>
        <v>0</v>
      </c>
      <c r="AH46" s="106">
        <f>('CBA Inputs'!AI$104-'CBA Inputs'!AI105)*AH$14</f>
        <v>0</v>
      </c>
    </row>
    <row r="47" spans="2:34" x14ac:dyDescent="0.25">
      <c r="B47" s="114" t="str">
        <f>'Option inputs'!$C$16</f>
        <v>Option 1B</v>
      </c>
      <c r="C47" s="163" t="s">
        <v>35</v>
      </c>
      <c r="D47" s="123">
        <f>NPV(DiscountRate_ACTIVE,E47:AH47)/(1+DiscountRate_ACTIVE)^(FirstYear-BaseYear-2)*'Option inputs'!$F$15</f>
        <v>100346748.82231346</v>
      </c>
      <c r="E47" s="106">
        <f>('CBA Inputs'!F$104-'CBA Inputs'!F106)*E$14</f>
        <v>0</v>
      </c>
      <c r="F47" s="106">
        <f>('CBA Inputs'!G$104-'CBA Inputs'!G106)*F$14</f>
        <v>-43.72183895111084</v>
      </c>
      <c r="G47" s="106">
        <f>('CBA Inputs'!H$104-'CBA Inputs'!H106)*G$14</f>
        <v>33473.44179725647</v>
      </c>
      <c r="H47" s="106">
        <f>('CBA Inputs'!I$104-'CBA Inputs'!I106)*H$14</f>
        <v>5538505.329843998</v>
      </c>
      <c r="I47" s="106">
        <f>('CBA Inputs'!J$104-'CBA Inputs'!J106)*I$14</f>
        <v>6889918.5147247314</v>
      </c>
      <c r="J47" s="106">
        <f>('CBA Inputs'!K$104-'CBA Inputs'!K106)*J$14</f>
        <v>7508951.4305024147</v>
      </c>
      <c r="K47" s="106">
        <f>('CBA Inputs'!L$104-'CBA Inputs'!L106)*K$14</f>
        <v>10488024.755032539</v>
      </c>
      <c r="L47" s="106">
        <f>('CBA Inputs'!M$104-'CBA Inputs'!M106)*L$14</f>
        <v>8948490.5155501366</v>
      </c>
      <c r="M47" s="106">
        <f>('CBA Inputs'!N$104-'CBA Inputs'!N106)*M$14</f>
        <v>9003746.9479308128</v>
      </c>
      <c r="N47" s="106">
        <f>('CBA Inputs'!O$104-'CBA Inputs'!O106)*N$14</f>
        <v>-1310672.2052140236</v>
      </c>
      <c r="O47" s="106">
        <f>('CBA Inputs'!P$104-'CBA Inputs'!P106)*O$14</f>
        <v>-3629273.0176577568</v>
      </c>
      <c r="P47" s="106">
        <f>('CBA Inputs'!Q$104-'CBA Inputs'!Q106)*P$14</f>
        <v>-4814479.1313505173</v>
      </c>
      <c r="Q47" s="106">
        <f>('CBA Inputs'!R$104-'CBA Inputs'!R106)*Q$14</f>
        <v>1789564.1099462509</v>
      </c>
      <c r="R47" s="106">
        <f>('CBA Inputs'!S$104-'CBA Inputs'!S106)*R$14</f>
        <v>24824942.34223032</v>
      </c>
      <c r="S47" s="106">
        <f>('CBA Inputs'!T$104-'CBA Inputs'!T106)*S$14</f>
        <v>1949580.65604496</v>
      </c>
      <c r="T47" s="106">
        <f>('CBA Inputs'!U$104-'CBA Inputs'!U106)*T$14</f>
        <v>-1412170.4776148796</v>
      </c>
      <c r="U47" s="106">
        <f>('CBA Inputs'!V$104-'CBA Inputs'!V106)*U$14</f>
        <v>2197199.2126641273</v>
      </c>
      <c r="V47" s="106">
        <f>('CBA Inputs'!W$104-'CBA Inputs'!W106)*V$14</f>
        <v>13722904.865249634</v>
      </c>
      <c r="W47" s="106">
        <f>('CBA Inputs'!X$104-'CBA Inputs'!X106)*W$14</f>
        <v>13918565.671332836</v>
      </c>
      <c r="X47" s="106">
        <f>('CBA Inputs'!Y$104-'CBA Inputs'!Y106)*X$14</f>
        <v>8029916.3378458023</v>
      </c>
      <c r="Y47" s="106">
        <f>('CBA Inputs'!Z$104-'CBA Inputs'!Z106)*Y$14</f>
        <v>16961787.361277103</v>
      </c>
      <c r="Z47" s="106">
        <f>('CBA Inputs'!AA$104-'CBA Inputs'!AA106)*Z$14</f>
        <v>18024915.645503521</v>
      </c>
      <c r="AA47" s="106">
        <f>('CBA Inputs'!AB$104-'CBA Inputs'!AB106)*AA$14</f>
        <v>10808265.99241209</v>
      </c>
      <c r="AB47" s="106">
        <f>('CBA Inputs'!AC$104-'CBA Inputs'!AC106)*AB$14</f>
        <v>8533532.1602635384</v>
      </c>
      <c r="AC47" s="106">
        <f>('CBA Inputs'!AD$104-'CBA Inputs'!AD106)*AC$14</f>
        <v>50094356.078388214</v>
      </c>
      <c r="AD47" s="106">
        <f>('CBA Inputs'!AE$104-'CBA Inputs'!AE106)*AD$14</f>
        <v>40845424.755255222</v>
      </c>
      <c r="AE47" s="106">
        <f>('CBA Inputs'!AF$104-'CBA Inputs'!AF106)*AE$14</f>
        <v>0</v>
      </c>
      <c r="AF47" s="106">
        <f>('CBA Inputs'!AG$104-'CBA Inputs'!AG106)*AF$14</f>
        <v>0</v>
      </c>
      <c r="AG47" s="106">
        <f>('CBA Inputs'!AH$104-'CBA Inputs'!AH106)*AG$14</f>
        <v>0</v>
      </c>
      <c r="AH47" s="106">
        <f>('CBA Inputs'!AI$104-'CBA Inputs'!AI106)*AH$14</f>
        <v>0</v>
      </c>
    </row>
    <row r="48" spans="2:34" x14ac:dyDescent="0.25">
      <c r="B48" s="114" t="str">
        <f>'Option inputs'!$C$17</f>
        <v>Option 1C</v>
      </c>
      <c r="C48" s="163" t="s">
        <v>35</v>
      </c>
      <c r="D48" s="123">
        <f>NPV(DiscountRate_ACTIVE,E48:AH48)/(1+DiscountRate_ACTIVE)^(FirstYear-BaseYear-2)*'Option inputs'!$F$15</f>
        <v>-22833466.472169761</v>
      </c>
      <c r="E48" s="106">
        <f>('CBA Inputs'!F$104-'CBA Inputs'!F107)*E$14</f>
        <v>0</v>
      </c>
      <c r="F48" s="106">
        <f>('CBA Inputs'!G$104-'CBA Inputs'!G107)*F$14</f>
        <v>-21.601123332977295</v>
      </c>
      <c r="G48" s="106">
        <f>('CBA Inputs'!H$104-'CBA Inputs'!H107)*G$14</f>
        <v>14786.764095783234</v>
      </c>
      <c r="H48" s="106">
        <f>('CBA Inputs'!I$104-'CBA Inputs'!I107)*H$14</f>
        <v>177335.13309335709</v>
      </c>
      <c r="I48" s="106">
        <f>('CBA Inputs'!J$104-'CBA Inputs'!J107)*I$14</f>
        <v>-116698.16888523102</v>
      </c>
      <c r="J48" s="106">
        <f>('CBA Inputs'!K$104-'CBA Inputs'!K107)*J$14</f>
        <v>-313096.05820798874</v>
      </c>
      <c r="K48" s="106">
        <f>('CBA Inputs'!L$104-'CBA Inputs'!L107)*K$14</f>
        <v>337296.03354740143</v>
      </c>
      <c r="L48" s="106">
        <f>('CBA Inputs'!M$104-'CBA Inputs'!M107)*L$14</f>
        <v>-1507669.4057207108</v>
      </c>
      <c r="M48" s="106">
        <f>('CBA Inputs'!N$104-'CBA Inputs'!N107)*M$14</f>
        <v>78357.448739528656</v>
      </c>
      <c r="N48" s="106">
        <f>('CBA Inputs'!O$104-'CBA Inputs'!O107)*N$14</f>
        <v>-2942474.8819761276</v>
      </c>
      <c r="O48" s="106">
        <f>('CBA Inputs'!P$104-'CBA Inputs'!P107)*O$14</f>
        <v>-1559658.4963064194</v>
      </c>
      <c r="P48" s="106">
        <f>('CBA Inputs'!Q$104-'CBA Inputs'!Q107)*P$14</f>
        <v>-2629116.8025784492</v>
      </c>
      <c r="Q48" s="106">
        <f>('CBA Inputs'!R$104-'CBA Inputs'!R107)*Q$14</f>
        <v>-10160929.614805698</v>
      </c>
      <c r="R48" s="106">
        <f>('CBA Inputs'!S$104-'CBA Inputs'!S107)*R$14</f>
        <v>-6691177.9641542435</v>
      </c>
      <c r="S48" s="106">
        <f>('CBA Inputs'!T$104-'CBA Inputs'!T107)*S$14</f>
        <v>3537312.0301904678</v>
      </c>
      <c r="T48" s="106">
        <f>('CBA Inputs'!U$104-'CBA Inputs'!U107)*T$14</f>
        <v>-17401443.95443964</v>
      </c>
      <c r="U48" s="106">
        <f>('CBA Inputs'!V$104-'CBA Inputs'!V107)*U$14</f>
        <v>-17456059.294258118</v>
      </c>
      <c r="V48" s="106">
        <f>('CBA Inputs'!W$104-'CBA Inputs'!W107)*V$14</f>
        <v>4198344.9423732758</v>
      </c>
      <c r="W48" s="106">
        <f>('CBA Inputs'!X$104-'CBA Inputs'!X107)*W$14</f>
        <v>2098262.1629772186</v>
      </c>
      <c r="X48" s="106">
        <f>('CBA Inputs'!Y$104-'CBA Inputs'!Y107)*X$14</f>
        <v>2365901.8436841965</v>
      </c>
      <c r="Y48" s="106">
        <f>('CBA Inputs'!Z$104-'CBA Inputs'!Z107)*Y$14</f>
        <v>-16129430.678097725</v>
      </c>
      <c r="Z48" s="106">
        <f>('CBA Inputs'!AA$104-'CBA Inputs'!AA107)*Z$14</f>
        <v>8003490.6439566612</v>
      </c>
      <c r="AA48" s="106">
        <f>('CBA Inputs'!AB$104-'CBA Inputs'!AB107)*AA$14</f>
        <v>977026.30294656754</v>
      </c>
      <c r="AB48" s="106">
        <f>('CBA Inputs'!AC$104-'CBA Inputs'!AC107)*AB$14</f>
        <v>-6326240.5721073151</v>
      </c>
      <c r="AC48" s="106">
        <f>('CBA Inputs'!AD$104-'CBA Inputs'!AD107)*AC$14</f>
        <v>10407897.846749306</v>
      </c>
      <c r="AD48" s="106">
        <f>('CBA Inputs'!AE$104-'CBA Inputs'!AE107)*AD$14</f>
        <v>11652624.446687222</v>
      </c>
      <c r="AE48" s="106">
        <f>('CBA Inputs'!AF$104-'CBA Inputs'!AF107)*AE$14</f>
        <v>0</v>
      </c>
      <c r="AF48" s="106">
        <f>('CBA Inputs'!AG$104-'CBA Inputs'!AG107)*AF$14</f>
        <v>0</v>
      </c>
      <c r="AG48" s="106">
        <f>('CBA Inputs'!AH$104-'CBA Inputs'!AH107)*AG$14</f>
        <v>0</v>
      </c>
      <c r="AH48" s="106">
        <f>('CBA Inputs'!AI$104-'CBA Inputs'!AI107)*AH$14</f>
        <v>0</v>
      </c>
    </row>
    <row r="49" spans="2:34" x14ac:dyDescent="0.25">
      <c r="B49" s="114" t="str">
        <f>'Option inputs'!$C$18</f>
        <v>Option 1D</v>
      </c>
      <c r="C49" s="163" t="s">
        <v>35</v>
      </c>
      <c r="D49" s="123">
        <f>NPV(DiscountRate_ACTIVE,E49:AH49)/(1+DiscountRate_ACTIVE)^(FirstYear-BaseYear-2)*'Option inputs'!$F$15</f>
        <v>-6824647.3119368963</v>
      </c>
      <c r="E49" s="106">
        <f>('CBA Inputs'!F$104-'CBA Inputs'!F108)*E$14</f>
        <v>0</v>
      </c>
      <c r="F49" s="106">
        <f>('CBA Inputs'!G$104-'CBA Inputs'!G108)*F$14</f>
        <v>-12.306588649749756</v>
      </c>
      <c r="G49" s="106">
        <f>('CBA Inputs'!H$104-'CBA Inputs'!H108)*G$14</f>
        <v>12182.496549606323</v>
      </c>
      <c r="H49" s="106">
        <f>('CBA Inputs'!I$104-'CBA Inputs'!I108)*H$14</f>
        <v>79325.535417079926</v>
      </c>
      <c r="I49" s="106">
        <f>('CBA Inputs'!J$104-'CBA Inputs'!J108)*I$14</f>
        <v>-310159.78924798965</v>
      </c>
      <c r="J49" s="106">
        <f>('CBA Inputs'!K$104-'CBA Inputs'!K108)*J$14</f>
        <v>-584419.67457008362</v>
      </c>
      <c r="K49" s="106">
        <f>('CBA Inputs'!L$104-'CBA Inputs'!L108)*K$14</f>
        <v>-80140.492356300354</v>
      </c>
      <c r="L49" s="106">
        <f>('CBA Inputs'!M$104-'CBA Inputs'!M108)*L$14</f>
        <v>-1401027.2393398285</v>
      </c>
      <c r="M49" s="106">
        <f>('CBA Inputs'!N$104-'CBA Inputs'!N108)*M$14</f>
        <v>-131340.70858764648</v>
      </c>
      <c r="N49" s="106">
        <f>('CBA Inputs'!O$104-'CBA Inputs'!O108)*N$14</f>
        <v>-3097996.349003315</v>
      </c>
      <c r="O49" s="106">
        <f>('CBA Inputs'!P$104-'CBA Inputs'!P108)*O$14</f>
        <v>-52218.922552108765</v>
      </c>
      <c r="P49" s="106">
        <f>('CBA Inputs'!Q$104-'CBA Inputs'!Q108)*P$14</f>
        <v>-1185797.0226202011</v>
      </c>
      <c r="Q49" s="106">
        <f>('CBA Inputs'!R$104-'CBA Inputs'!R108)*Q$14</f>
        <v>-3831333.2782921791</v>
      </c>
      <c r="R49" s="106">
        <f>('CBA Inputs'!S$104-'CBA Inputs'!S108)*R$14</f>
        <v>-3318906.5317339897</v>
      </c>
      <c r="S49" s="106">
        <f>('CBA Inputs'!T$104-'CBA Inputs'!T108)*S$14</f>
        <v>415426.786195755</v>
      </c>
      <c r="T49" s="106">
        <f>('CBA Inputs'!U$104-'CBA Inputs'!U108)*T$14</f>
        <v>-2593341.4382457733</v>
      </c>
      <c r="U49" s="106">
        <f>('CBA Inputs'!V$104-'CBA Inputs'!V108)*U$14</f>
        <v>-8394011.7704963684</v>
      </c>
      <c r="V49" s="106">
        <f>('CBA Inputs'!W$104-'CBA Inputs'!W108)*V$14</f>
        <v>3896732.2568869591</v>
      </c>
      <c r="W49" s="106">
        <f>('CBA Inputs'!X$104-'CBA Inputs'!X108)*W$14</f>
        <v>1279462.474354744</v>
      </c>
      <c r="X49" s="106">
        <f>('CBA Inputs'!Y$104-'CBA Inputs'!Y108)*X$14</f>
        <v>1077503.9716787338</v>
      </c>
      <c r="Y49" s="106">
        <f>('CBA Inputs'!Z$104-'CBA Inputs'!Z108)*Y$14</f>
        <v>-7733657.3420834541</v>
      </c>
      <c r="Z49" s="106">
        <f>('CBA Inputs'!AA$104-'CBA Inputs'!AA108)*Z$14</f>
        <v>4322466.2981190681</v>
      </c>
      <c r="AA49" s="106">
        <f>('CBA Inputs'!AB$104-'CBA Inputs'!AB108)*AA$14</f>
        <v>2574590.1842441559</v>
      </c>
      <c r="AB49" s="106">
        <f>('CBA Inputs'!AC$104-'CBA Inputs'!AC108)*AB$14</f>
        <v>948380.2796754837</v>
      </c>
      <c r="AC49" s="106">
        <f>('CBA Inputs'!AD$104-'CBA Inputs'!AD108)*AC$14</f>
        <v>5440452.2806811333</v>
      </c>
      <c r="AD49" s="106">
        <f>('CBA Inputs'!AE$104-'CBA Inputs'!AE108)*AD$14</f>
        <v>8516433.0896964073</v>
      </c>
      <c r="AE49" s="106">
        <f>('CBA Inputs'!AF$104-'CBA Inputs'!AF108)*AE$14</f>
        <v>0</v>
      </c>
      <c r="AF49" s="106">
        <f>('CBA Inputs'!AG$104-'CBA Inputs'!AG108)*AF$14</f>
        <v>0</v>
      </c>
      <c r="AG49" s="106">
        <f>('CBA Inputs'!AH$104-'CBA Inputs'!AH108)*AG$14</f>
        <v>0</v>
      </c>
      <c r="AH49" s="106">
        <f>('CBA Inputs'!AI$104-'CBA Inputs'!AI108)*AH$14</f>
        <v>0</v>
      </c>
    </row>
    <row r="50" spans="2:34" x14ac:dyDescent="0.25">
      <c r="B50" s="114"/>
      <c r="C50" s="114"/>
      <c r="D50" s="123"/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</row>
    <row r="51" spans="2:34" ht="13" x14ac:dyDescent="0.3">
      <c r="B51" s="122" t="str">
        <f>'CBA Inputs'!B131</f>
        <v xml:space="preserve">Voluntary load curtailment </v>
      </c>
      <c r="C51" s="122"/>
      <c r="D51" s="123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</row>
    <row r="52" spans="2:34" x14ac:dyDescent="0.25">
      <c r="B52" s="114" t="str">
        <f>'Option inputs'!$C$15</f>
        <v>Option 1A</v>
      </c>
      <c r="C52" s="163" t="s">
        <v>35</v>
      </c>
      <c r="D52" s="123">
        <f>NPV(DiscountRate_ACTIVE,E52:AH52)/(1+DiscountRate_ACTIVE)^(FirstYear-BaseYear-2)*'Option inputs'!$F$15</f>
        <v>4112148.4597841837</v>
      </c>
      <c r="E52" s="106">
        <f>('CBA Inputs'!F$134-'CBA Inputs'!F135)*E$14</f>
        <v>0</v>
      </c>
      <c r="F52" s="106">
        <f>('CBA Inputs'!G$134-'CBA Inputs'!G135)*F$14</f>
        <v>2.5180001663975418</v>
      </c>
      <c r="G52" s="106">
        <f>('CBA Inputs'!H$134-'CBA Inputs'!H135)*G$14</f>
        <v>2.6896416268427856</v>
      </c>
      <c r="H52" s="106">
        <f>('CBA Inputs'!I$134-'CBA Inputs'!I135)*H$14</f>
        <v>157132.49162080698</v>
      </c>
      <c r="I52" s="106">
        <f>('CBA Inputs'!J$134-'CBA Inputs'!J135)*I$14</f>
        <v>174916.44679038227</v>
      </c>
      <c r="J52" s="106">
        <f>('CBA Inputs'!K$134-'CBA Inputs'!K135)*J$14</f>
        <v>32714.038506436162</v>
      </c>
      <c r="K52" s="106">
        <f>('CBA Inputs'!L$134-'CBA Inputs'!L135)*K$14</f>
        <v>3.4424297206480134</v>
      </c>
      <c r="L52" s="106">
        <f>('CBA Inputs'!M$134-'CBA Inputs'!M135)*L$14</f>
        <v>2933.4182673134274</v>
      </c>
      <c r="M52" s="106">
        <f>('CBA Inputs'!N$134-'CBA Inputs'!N135)*M$14</f>
        <v>1575.2479798389177</v>
      </c>
      <c r="N52" s="106">
        <f>('CBA Inputs'!O$134-'CBA Inputs'!O135)*N$14</f>
        <v>46169.064047214342</v>
      </c>
      <c r="O52" s="106">
        <f>('CBA Inputs'!P$134-'CBA Inputs'!P135)*O$14</f>
        <v>7016.3840722828172</v>
      </c>
      <c r="P52" s="106">
        <f>('CBA Inputs'!Q$134-'CBA Inputs'!Q135)*P$14</f>
        <v>-14314.732554638991</v>
      </c>
      <c r="Q52" s="106">
        <f>('CBA Inputs'!R$134-'CBA Inputs'!R135)*Q$14</f>
        <v>16026.227727186168</v>
      </c>
      <c r="R52" s="106">
        <f>('CBA Inputs'!S$134-'CBA Inputs'!S135)*R$14</f>
        <v>786183.14799528662</v>
      </c>
      <c r="S52" s="106">
        <f>('CBA Inputs'!T$134-'CBA Inputs'!T135)*S$14</f>
        <v>420564.59430221003</v>
      </c>
      <c r="T52" s="106">
        <f>('CBA Inputs'!U$134-'CBA Inputs'!U135)*T$14</f>
        <v>1068156.9628534652</v>
      </c>
      <c r="U52" s="106">
        <f>('CBA Inputs'!V$134-'CBA Inputs'!V135)*U$14</f>
        <v>2083160.1754248198</v>
      </c>
      <c r="V52" s="106">
        <f>('CBA Inputs'!W$134-'CBA Inputs'!W135)*V$14</f>
        <v>3.452176516293548E-2</v>
      </c>
      <c r="W52" s="106">
        <f>('CBA Inputs'!X$134-'CBA Inputs'!X135)*W$14</f>
        <v>-51427.850263232613</v>
      </c>
      <c r="X52" s="106">
        <f>('CBA Inputs'!Y$134-'CBA Inputs'!Y135)*X$14</f>
        <v>-359848.58937809616</v>
      </c>
      <c r="Y52" s="106">
        <f>('CBA Inputs'!Z$134-'CBA Inputs'!Z135)*Y$14</f>
        <v>5681599.6312696114</v>
      </c>
      <c r="Z52" s="106">
        <f>('CBA Inputs'!AA$134-'CBA Inputs'!AA135)*Z$14</f>
        <v>-3245552.8188264277</v>
      </c>
      <c r="AA52" s="106">
        <f>('CBA Inputs'!AB$134-'CBA Inputs'!AB135)*AA$14</f>
        <v>3318908.8114264701</v>
      </c>
      <c r="AB52" s="106">
        <f>('CBA Inputs'!AC$134-'CBA Inputs'!AC135)*AB$14</f>
        <v>360492.8318506442</v>
      </c>
      <c r="AC52" s="106">
        <f>('CBA Inputs'!AD$134-'CBA Inputs'!AD135)*AC$14</f>
        <v>-90588.951480124146</v>
      </c>
      <c r="AD52" s="106">
        <f>('CBA Inputs'!AE$134-'CBA Inputs'!AE135)*AD$14</f>
        <v>11.218786810025334</v>
      </c>
      <c r="AE52" s="106">
        <f>('CBA Inputs'!AF$134-'CBA Inputs'!AF135)*AE$14</f>
        <v>0</v>
      </c>
      <c r="AF52" s="106">
        <f>('CBA Inputs'!AG$134-'CBA Inputs'!AG135)*AF$14</f>
        <v>0</v>
      </c>
      <c r="AG52" s="106">
        <f>('CBA Inputs'!AH$134-'CBA Inputs'!AH135)*AG$14</f>
        <v>0</v>
      </c>
      <c r="AH52" s="106">
        <f>('CBA Inputs'!AI$134-'CBA Inputs'!AI135)*AH$14</f>
        <v>0</v>
      </c>
    </row>
    <row r="53" spans="2:34" x14ac:dyDescent="0.25">
      <c r="B53" s="114" t="str">
        <f>'Option inputs'!$C$16</f>
        <v>Option 1B</v>
      </c>
      <c r="C53" s="163" t="s">
        <v>35</v>
      </c>
      <c r="D53" s="123">
        <f>NPV(DiscountRate_ACTIVE,E53:AH53)/(1+DiscountRate_ACTIVE)^(FirstYear-BaseYear-2)*'Option inputs'!$F$15</f>
        <v>-173440.54009735951</v>
      </c>
      <c r="E53" s="106">
        <f>('CBA Inputs'!F$134-'CBA Inputs'!F136)*E$14</f>
        <v>0</v>
      </c>
      <c r="F53" s="106">
        <f>('CBA Inputs'!G$134-'CBA Inputs'!G136)*F$14</f>
        <v>-4.4344151265686378</v>
      </c>
      <c r="G53" s="106">
        <f>('CBA Inputs'!H$134-'CBA Inputs'!H136)*G$14</f>
        <v>-4.6893663331866264</v>
      </c>
      <c r="H53" s="106">
        <f>('CBA Inputs'!I$134-'CBA Inputs'!I136)*H$14</f>
        <v>46.533752720803022</v>
      </c>
      <c r="I53" s="106">
        <f>('CBA Inputs'!J$134-'CBA Inputs'!J136)*I$14</f>
        <v>189851.10264419578</v>
      </c>
      <c r="J53" s="106">
        <f>('CBA Inputs'!K$134-'CBA Inputs'!K136)*J$14</f>
        <v>12311.070667412132</v>
      </c>
      <c r="K53" s="106">
        <f>('CBA Inputs'!L$134-'CBA Inputs'!L136)*K$14</f>
        <v>-5.9792663712150249</v>
      </c>
      <c r="L53" s="106">
        <f>('CBA Inputs'!M$134-'CBA Inputs'!M136)*L$14</f>
        <v>-509.76594210819439</v>
      </c>
      <c r="M53" s="106">
        <f>('CBA Inputs'!N$134-'CBA Inputs'!N136)*M$14</f>
        <v>-740.19646380022459</v>
      </c>
      <c r="N53" s="106">
        <f>('CBA Inputs'!O$134-'CBA Inputs'!O136)*N$14</f>
        <v>403582.4909696111</v>
      </c>
      <c r="O53" s="106">
        <f>('CBA Inputs'!P$134-'CBA Inputs'!P136)*O$14</f>
        <v>78969.776903179474</v>
      </c>
      <c r="P53" s="106">
        <f>('CBA Inputs'!Q$134-'CBA Inputs'!Q136)*P$14</f>
        <v>-91453.883692801464</v>
      </c>
      <c r="Q53" s="106">
        <f>('CBA Inputs'!R$134-'CBA Inputs'!R136)*Q$14</f>
        <v>13043.494776215637</v>
      </c>
      <c r="R53" s="106">
        <f>('CBA Inputs'!S$134-'CBA Inputs'!S136)*R$14</f>
        <v>180865.20840812754</v>
      </c>
      <c r="S53" s="106">
        <f>('CBA Inputs'!T$134-'CBA Inputs'!T136)*S$14</f>
        <v>-407990.22128391918</v>
      </c>
      <c r="T53" s="106">
        <f>('CBA Inputs'!U$134-'CBA Inputs'!U136)*T$14</f>
        <v>-416416.28195928689</v>
      </c>
      <c r="U53" s="106">
        <f>('CBA Inputs'!V$134-'CBA Inputs'!V136)*U$14</f>
        <v>585827.53254044242</v>
      </c>
      <c r="V53" s="106">
        <f>('CBA Inputs'!W$134-'CBA Inputs'!W136)*V$14</f>
        <v>-12979.686090621733</v>
      </c>
      <c r="W53" s="106">
        <f>('CBA Inputs'!X$134-'CBA Inputs'!X136)*W$14</f>
        <v>-40501.509801456574</v>
      </c>
      <c r="X53" s="106">
        <f>('CBA Inputs'!Y$134-'CBA Inputs'!Y136)*X$14</f>
        <v>-616188.19209840056</v>
      </c>
      <c r="Y53" s="106">
        <f>('CBA Inputs'!Z$134-'CBA Inputs'!Z136)*Y$14</f>
        <v>168715.39546979591</v>
      </c>
      <c r="Z53" s="106">
        <f>('CBA Inputs'!AA$134-'CBA Inputs'!AA136)*Z$14</f>
        <v>-338762.94280450232</v>
      </c>
      <c r="AA53" s="106">
        <f>('CBA Inputs'!AB$134-'CBA Inputs'!AB136)*AA$14</f>
        <v>-340822.97530405596</v>
      </c>
      <c r="AB53" s="106">
        <f>('CBA Inputs'!AC$134-'CBA Inputs'!AC136)*AB$14</f>
        <v>-309501.09715040773</v>
      </c>
      <c r="AC53" s="106">
        <f>('CBA Inputs'!AD$134-'CBA Inputs'!AD136)*AC$14</f>
        <v>-290082.13010815904</v>
      </c>
      <c r="AD53" s="106">
        <f>('CBA Inputs'!AE$134-'CBA Inputs'!AE136)*AD$14</f>
        <v>-19.4754081524359</v>
      </c>
      <c r="AE53" s="106">
        <f>('CBA Inputs'!AF$134-'CBA Inputs'!AF136)*AE$14</f>
        <v>0</v>
      </c>
      <c r="AF53" s="106">
        <f>('CBA Inputs'!AG$134-'CBA Inputs'!AG136)*AF$14</f>
        <v>0</v>
      </c>
      <c r="AG53" s="106">
        <f>('CBA Inputs'!AH$134-'CBA Inputs'!AH136)*AG$14</f>
        <v>0</v>
      </c>
      <c r="AH53" s="106">
        <f>('CBA Inputs'!AI$134-'CBA Inputs'!AI136)*AH$14</f>
        <v>0</v>
      </c>
    </row>
    <row r="54" spans="2:34" x14ac:dyDescent="0.25">
      <c r="B54" s="114" t="str">
        <f>'Option inputs'!$C$17</f>
        <v>Option 1C</v>
      </c>
      <c r="C54" s="163" t="s">
        <v>35</v>
      </c>
      <c r="D54" s="123">
        <f>NPV(DiscountRate_ACTIVE,E54:AH54)/(1+DiscountRate_ACTIVE)^(FirstYear-BaseYear-2)*'Option inputs'!$F$15</f>
        <v>2565677.6858167774</v>
      </c>
      <c r="E54" s="106">
        <f>('CBA Inputs'!F$134-'CBA Inputs'!F137)*E$14</f>
        <v>0</v>
      </c>
      <c r="F54" s="106">
        <f>('CBA Inputs'!G$134-'CBA Inputs'!G137)*F$14</f>
        <v>2.2274851009715348</v>
      </c>
      <c r="G54" s="106">
        <f>('CBA Inputs'!H$134-'CBA Inputs'!H137)*G$14</f>
        <v>2.3829791901516728</v>
      </c>
      <c r="H54" s="106">
        <f>('CBA Inputs'!I$134-'CBA Inputs'!I137)*H$14</f>
        <v>377014.46636462398</v>
      </c>
      <c r="I54" s="106">
        <f>('CBA Inputs'!J$134-'CBA Inputs'!J137)*I$14</f>
        <v>45215.685169481672</v>
      </c>
      <c r="J54" s="106">
        <f>('CBA Inputs'!K$134-'CBA Inputs'!K137)*J$14</f>
        <v>294134.15929621272</v>
      </c>
      <c r="K54" s="106">
        <f>('CBA Inputs'!L$134-'CBA Inputs'!L137)*K$14</f>
        <v>3.0382105568215509</v>
      </c>
      <c r="L54" s="106">
        <f>('CBA Inputs'!M$134-'CBA Inputs'!M137)*L$14</f>
        <v>2932.9888236411925</v>
      </c>
      <c r="M54" s="106">
        <f>('CBA Inputs'!N$134-'CBA Inputs'!N137)*M$14</f>
        <v>12991.17268157943</v>
      </c>
      <c r="N54" s="106">
        <f>('CBA Inputs'!O$134-'CBA Inputs'!O137)*N$14</f>
        <v>87172.141383035341</v>
      </c>
      <c r="O54" s="106">
        <f>('CBA Inputs'!P$134-'CBA Inputs'!P137)*O$14</f>
        <v>-54182.672727711964</v>
      </c>
      <c r="P54" s="106">
        <f>('CBA Inputs'!Q$134-'CBA Inputs'!Q137)*P$14</f>
        <v>564783.61104373261</v>
      </c>
      <c r="Q54" s="106">
        <f>('CBA Inputs'!R$134-'CBA Inputs'!R137)*Q$14</f>
        <v>-17108.559976312332</v>
      </c>
      <c r="R54" s="106">
        <f>('CBA Inputs'!S$134-'CBA Inputs'!S137)*R$14</f>
        <v>-12267.357285993174</v>
      </c>
      <c r="S54" s="106">
        <f>('CBA Inputs'!T$134-'CBA Inputs'!T137)*S$14</f>
        <v>1430888.4849008354</v>
      </c>
      <c r="T54" s="106">
        <f>('CBA Inputs'!U$134-'CBA Inputs'!U137)*T$14</f>
        <v>606779.18788554613</v>
      </c>
      <c r="U54" s="106">
        <f>('CBA Inputs'!V$134-'CBA Inputs'!V137)*U$14</f>
        <v>2116533.1799407303</v>
      </c>
      <c r="V54" s="106">
        <f>('CBA Inputs'!W$134-'CBA Inputs'!W137)*V$14</f>
        <v>19622.104179753274</v>
      </c>
      <c r="W54" s="106">
        <f>('CBA Inputs'!X$134-'CBA Inputs'!X137)*W$14</f>
        <v>17954.926211733793</v>
      </c>
      <c r="X54" s="106">
        <f>('CBA Inputs'!Y$134-'CBA Inputs'!Y137)*X$14</f>
        <v>401019.07121024933</v>
      </c>
      <c r="Y54" s="106">
        <f>('CBA Inputs'!Z$134-'CBA Inputs'!Z137)*Y$14</f>
        <v>3312939.7908738069</v>
      </c>
      <c r="Z54" s="106">
        <f>('CBA Inputs'!AA$134-'CBA Inputs'!AA137)*Z$14</f>
        <v>-4025068.4913970288</v>
      </c>
      <c r="AA54" s="106">
        <f>('CBA Inputs'!AB$134-'CBA Inputs'!AB137)*AA$14</f>
        <v>2107926.8885211181</v>
      </c>
      <c r="AB54" s="106">
        <f>('CBA Inputs'!AC$134-'CBA Inputs'!AC137)*AB$14</f>
        <v>739140.84748536721</v>
      </c>
      <c r="AC54" s="106">
        <f>('CBA Inputs'!AD$134-'CBA Inputs'!AD137)*AC$14</f>
        <v>-3966273.3855760247</v>
      </c>
      <c r="AD54" s="106">
        <f>('CBA Inputs'!AE$134-'CBA Inputs'!AE137)*AD$14</f>
        <v>9.9105853937318464</v>
      </c>
      <c r="AE54" s="106">
        <f>('CBA Inputs'!AF$134-'CBA Inputs'!AF137)*AE$14</f>
        <v>0</v>
      </c>
      <c r="AF54" s="106">
        <f>('CBA Inputs'!AG$134-'CBA Inputs'!AG137)*AF$14</f>
        <v>0</v>
      </c>
      <c r="AG54" s="106">
        <f>('CBA Inputs'!AH$134-'CBA Inputs'!AH137)*AG$14</f>
        <v>0</v>
      </c>
      <c r="AH54" s="106">
        <f>('CBA Inputs'!AI$134-'CBA Inputs'!AI137)*AH$14</f>
        <v>0</v>
      </c>
    </row>
    <row r="55" spans="2:34" x14ac:dyDescent="0.25">
      <c r="B55" s="114" t="str">
        <f>'Option inputs'!$C$18</f>
        <v>Option 1D</v>
      </c>
      <c r="C55" s="163" t="s">
        <v>35</v>
      </c>
      <c r="D55" s="123">
        <f>NPV(DiscountRate_ACTIVE,E55:AH55)/(1+DiscountRate_ACTIVE)^(FirstYear-BaseYear-2)*'Option inputs'!$F$15</f>
        <v>1090968.4305802207</v>
      </c>
      <c r="E55" s="106">
        <f>('CBA Inputs'!F$134-'CBA Inputs'!F138)*E$14</f>
        <v>0</v>
      </c>
      <c r="F55" s="106">
        <f>('CBA Inputs'!G$134-'CBA Inputs'!G138)*F$14</f>
        <v>2.7234127164119855</v>
      </c>
      <c r="G55" s="106">
        <f>('CBA Inputs'!H$134-'CBA Inputs'!H138)*G$14</f>
        <v>2.798024267074652</v>
      </c>
      <c r="H55" s="106">
        <f>('CBA Inputs'!I$134-'CBA Inputs'!I138)*H$14</f>
        <v>403584.73359263316</v>
      </c>
      <c r="I55" s="106">
        <f>('CBA Inputs'!J$134-'CBA Inputs'!J138)*I$14</f>
        <v>23325.012525082566</v>
      </c>
      <c r="J55" s="106">
        <f>('CBA Inputs'!K$134-'CBA Inputs'!K138)*J$14</f>
        <v>172389.31028805673</v>
      </c>
      <c r="K55" s="106">
        <f>('CBA Inputs'!L$134-'CBA Inputs'!L138)*K$14</f>
        <v>3.5870838103492404</v>
      </c>
      <c r="L55" s="106">
        <f>('CBA Inputs'!M$134-'CBA Inputs'!M138)*L$14</f>
        <v>2933.5672096930084</v>
      </c>
      <c r="M55" s="106">
        <f>('CBA Inputs'!N$134-'CBA Inputs'!N138)*M$14</f>
        <v>8603.1740143959669</v>
      </c>
      <c r="N55" s="106">
        <f>('CBA Inputs'!O$134-'CBA Inputs'!O138)*N$14</f>
        <v>84873.618513008347</v>
      </c>
      <c r="O55" s="106">
        <f>('CBA Inputs'!P$134-'CBA Inputs'!P138)*O$14</f>
        <v>16239.70208119275</v>
      </c>
      <c r="P55" s="106">
        <f>('CBA Inputs'!Q$134-'CBA Inputs'!Q138)*P$14</f>
        <v>427518.7157604075</v>
      </c>
      <c r="Q55" s="106">
        <f>('CBA Inputs'!R$134-'CBA Inputs'!R138)*Q$14</f>
        <v>-9305.0386651067529</v>
      </c>
      <c r="R55" s="106">
        <f>('CBA Inputs'!S$134-'CBA Inputs'!S138)*R$14</f>
        <v>-290733.88844425231</v>
      </c>
      <c r="S55" s="106">
        <f>('CBA Inputs'!T$134-'CBA Inputs'!T138)*S$14</f>
        <v>301189.34217069577</v>
      </c>
      <c r="T55" s="106">
        <f>('CBA Inputs'!U$134-'CBA Inputs'!U138)*T$14</f>
        <v>39616.658542402089</v>
      </c>
      <c r="U55" s="106">
        <f>('CBA Inputs'!V$134-'CBA Inputs'!V138)*U$14</f>
        <v>1161832.1968517341</v>
      </c>
      <c r="V55" s="106">
        <f>('CBA Inputs'!W$134-'CBA Inputs'!W138)*V$14</f>
        <v>12892.215446396182</v>
      </c>
      <c r="W55" s="106">
        <f>('CBA Inputs'!X$134-'CBA Inputs'!X138)*W$14</f>
        <v>2576.663441984987</v>
      </c>
      <c r="X55" s="106">
        <f>('CBA Inputs'!Y$134-'CBA Inputs'!Y138)*X$14</f>
        <v>225658.20492249262</v>
      </c>
      <c r="Y55" s="106">
        <f>('CBA Inputs'!Z$134-'CBA Inputs'!Z138)*Y$14</f>
        <v>711658.21109105647</v>
      </c>
      <c r="Z55" s="106">
        <f>('CBA Inputs'!AA$134-'CBA Inputs'!AA138)*Z$14</f>
        <v>-2526960.3234226964</v>
      </c>
      <c r="AA55" s="106">
        <f>('CBA Inputs'!AB$134-'CBA Inputs'!AB138)*AA$14</f>
        <v>664736.50891626254</v>
      </c>
      <c r="AB55" s="106">
        <f>('CBA Inputs'!AC$134-'CBA Inputs'!AC138)*AB$14</f>
        <v>903.46460385620594</v>
      </c>
      <c r="AC55" s="106">
        <f>('CBA Inputs'!AD$134-'CBA Inputs'!AD138)*AC$14</f>
        <v>142416.13584560528</v>
      </c>
      <c r="AD55" s="106">
        <f>('CBA Inputs'!AE$134-'CBA Inputs'!AE138)*AD$14</f>
        <v>11.696609040369626</v>
      </c>
      <c r="AE55" s="106">
        <f>('CBA Inputs'!AF$134-'CBA Inputs'!AF138)*AE$14</f>
        <v>0</v>
      </c>
      <c r="AF55" s="106">
        <f>('CBA Inputs'!AG$134-'CBA Inputs'!AG138)*AF$14</f>
        <v>0</v>
      </c>
      <c r="AG55" s="106">
        <f>('CBA Inputs'!AH$134-'CBA Inputs'!AH138)*AG$14</f>
        <v>0</v>
      </c>
      <c r="AH55" s="106">
        <f>('CBA Inputs'!AI$134-'CBA Inputs'!AI138)*AH$14</f>
        <v>0</v>
      </c>
    </row>
    <row r="56" spans="2:34" x14ac:dyDescent="0.25">
      <c r="B56" s="114"/>
      <c r="C56" s="114"/>
      <c r="D56" s="123"/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</row>
    <row r="57" spans="2:34" ht="13" x14ac:dyDescent="0.3">
      <c r="B57" s="122" t="str">
        <f>'CBA Inputs'!B161</f>
        <v>Costs for non RIT-T proponent parties</v>
      </c>
      <c r="C57" s="122"/>
      <c r="D57" s="123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</row>
    <row r="58" spans="2:34" x14ac:dyDescent="0.25">
      <c r="B58" s="114" t="str">
        <f>'Option inputs'!$C$15</f>
        <v>Option 1A</v>
      </c>
      <c r="C58" s="163" t="s">
        <v>35</v>
      </c>
      <c r="D58" s="123">
        <f>NPV(DiscountRate_ACTIVE,E58:AH58)/(1+DiscountRate_ACTIVE)^(FirstYear-BaseYear-2)*'Option inputs'!$F$15</f>
        <v>310220748.82365382</v>
      </c>
      <c r="E58" s="106">
        <f>('CBA Inputs'!F$164-'CBA Inputs'!F165)*E$14</f>
        <v>0</v>
      </c>
      <c r="F58" s="106">
        <f>('CBA Inputs'!G$164-'CBA Inputs'!G165)*F$14</f>
        <v>299.60872721672058</v>
      </c>
      <c r="G58" s="106">
        <f>('CBA Inputs'!H$164-'CBA Inputs'!H165)*G$14</f>
        <v>9254.5528930425644</v>
      </c>
      <c r="H58" s="106">
        <f>('CBA Inputs'!I$164-'CBA Inputs'!I165)*H$14</f>
        <v>173618383.75794744</v>
      </c>
      <c r="I58" s="106">
        <f>('CBA Inputs'!J$164-'CBA Inputs'!J165)*I$14</f>
        <v>-18551211.986917496</v>
      </c>
      <c r="J58" s="106">
        <f>('CBA Inputs'!K$164-'CBA Inputs'!K165)*J$14</f>
        <v>-395053.17867469788</v>
      </c>
      <c r="K58" s="106">
        <f>('CBA Inputs'!L$164-'CBA Inputs'!L165)*K$14</f>
        <v>1814607.9693551064</v>
      </c>
      <c r="L58" s="106">
        <f>('CBA Inputs'!M$164-'CBA Inputs'!M165)*L$14</f>
        <v>4734427.5503022671</v>
      </c>
      <c r="M58" s="106">
        <f>('CBA Inputs'!N$164-'CBA Inputs'!N165)*M$14</f>
        <v>5134615.7005624771</v>
      </c>
      <c r="N58" s="106">
        <f>('CBA Inputs'!O$164-'CBA Inputs'!O165)*N$14</f>
        <v>225738743.72565079</v>
      </c>
      <c r="O58" s="106">
        <f>('CBA Inputs'!P$164-'CBA Inputs'!P165)*O$14</f>
        <v>69063863.543722153</v>
      </c>
      <c r="P58" s="106">
        <f>('CBA Inputs'!Q$164-'CBA Inputs'!Q165)*P$14</f>
        <v>-787363.32006108761</v>
      </c>
      <c r="Q58" s="106">
        <f>('CBA Inputs'!R$164-'CBA Inputs'!R165)*Q$14</f>
        <v>57118882.282352448</v>
      </c>
      <c r="R58" s="106">
        <f>('CBA Inputs'!S$164-'CBA Inputs'!S165)*R$14</f>
        <v>-253365987.0421381</v>
      </c>
      <c r="S58" s="106">
        <f>('CBA Inputs'!T$164-'CBA Inputs'!T165)*S$14</f>
        <v>129032633.27796221</v>
      </c>
      <c r="T58" s="106">
        <f>('CBA Inputs'!U$164-'CBA Inputs'!U165)*T$14</f>
        <v>206861186.25061035</v>
      </c>
      <c r="U58" s="106">
        <f>('CBA Inputs'!V$164-'CBA Inputs'!V165)*U$14</f>
        <v>61728171.620040894</v>
      </c>
      <c r="V58" s="106">
        <f>('CBA Inputs'!W$164-'CBA Inputs'!W165)*V$14</f>
        <v>-311582490.58197355</v>
      </c>
      <c r="W58" s="106">
        <f>('CBA Inputs'!X$164-'CBA Inputs'!X165)*W$14</f>
        <v>-10207786.006738901</v>
      </c>
      <c r="X58" s="106">
        <f>('CBA Inputs'!Y$164-'CBA Inputs'!Y165)*X$14</f>
        <v>-4112290.5466761589</v>
      </c>
      <c r="Y58" s="106">
        <f>('CBA Inputs'!Z$164-'CBA Inputs'!Z165)*Y$14</f>
        <v>105453566.09807873</v>
      </c>
      <c r="Z58" s="106">
        <f>('CBA Inputs'!AA$164-'CBA Inputs'!AA165)*Z$14</f>
        <v>-83689454.097207546</v>
      </c>
      <c r="AA58" s="106">
        <f>('CBA Inputs'!AB$164-'CBA Inputs'!AB165)*AA$14</f>
        <v>71651019.55900538</v>
      </c>
      <c r="AB58" s="106">
        <f>('CBA Inputs'!AC$164-'CBA Inputs'!AC165)*AB$14</f>
        <v>24890378.535867333</v>
      </c>
      <c r="AC58" s="106">
        <f>('CBA Inputs'!AD$164-'CBA Inputs'!AD165)*AC$14</f>
        <v>-45666477.636971951</v>
      </c>
      <c r="AD58" s="106">
        <f>('CBA Inputs'!AE$164-'CBA Inputs'!AE165)*AD$14</f>
        <v>4625286.4278271198</v>
      </c>
      <c r="AE58" s="106">
        <f>('CBA Inputs'!AF$164-'CBA Inputs'!AF165)*AE$14</f>
        <v>0</v>
      </c>
      <c r="AF58" s="106">
        <f>('CBA Inputs'!AG$164-'CBA Inputs'!AG165)*AF$14</f>
        <v>0</v>
      </c>
      <c r="AG58" s="106">
        <f>('CBA Inputs'!AH$164-'CBA Inputs'!AH165)*AG$14</f>
        <v>0</v>
      </c>
      <c r="AH58" s="106">
        <f>('CBA Inputs'!AI$164-'CBA Inputs'!AI165)*AH$14</f>
        <v>0</v>
      </c>
    </row>
    <row r="59" spans="2:34" x14ac:dyDescent="0.25">
      <c r="B59" s="114" t="str">
        <f>'Option inputs'!$C$16</f>
        <v>Option 1B</v>
      </c>
      <c r="C59" s="163" t="s">
        <v>35</v>
      </c>
      <c r="D59" s="123">
        <f>NPV(DiscountRate_ACTIVE,E59:AH59)/(1+DiscountRate_ACTIVE)^(FirstYear-BaseYear-2)*'Option inputs'!$F$15</f>
        <v>78304923.639512256</v>
      </c>
      <c r="E59" s="106">
        <f>('CBA Inputs'!F$164-'CBA Inputs'!F166)*E$14</f>
        <v>0</v>
      </c>
      <c r="F59" s="106">
        <f>('CBA Inputs'!G$164-'CBA Inputs'!G166)*F$14</f>
        <v>-506.69919049739838</v>
      </c>
      <c r="G59" s="106">
        <f>('CBA Inputs'!H$164-'CBA Inputs'!H166)*G$14</f>
        <v>9229.8320137262344</v>
      </c>
      <c r="H59" s="106">
        <f>('CBA Inputs'!I$164-'CBA Inputs'!I166)*H$14</f>
        <v>365470.92995619774</v>
      </c>
      <c r="I59" s="106">
        <f>('CBA Inputs'!J$164-'CBA Inputs'!J166)*I$14</f>
        <v>-11999737.972116947</v>
      </c>
      <c r="J59" s="106">
        <f>('CBA Inputs'!K$164-'CBA Inputs'!K166)*J$14</f>
        <v>365119.68109154701</v>
      </c>
      <c r="K59" s="106">
        <f>('CBA Inputs'!L$164-'CBA Inputs'!L166)*K$14</f>
        <v>2143967.330578804</v>
      </c>
      <c r="L59" s="106">
        <f>('CBA Inputs'!M$164-'CBA Inputs'!M166)*L$14</f>
        <v>4216189.7370631695</v>
      </c>
      <c r="M59" s="106">
        <f>('CBA Inputs'!N$164-'CBA Inputs'!N166)*M$14</f>
        <v>3441935.9077658653</v>
      </c>
      <c r="N59" s="106">
        <f>('CBA Inputs'!O$164-'CBA Inputs'!O166)*N$14</f>
        <v>143371791.65458488</v>
      </c>
      <c r="O59" s="106">
        <f>('CBA Inputs'!P$164-'CBA Inputs'!P166)*O$14</f>
        <v>4325849.7224583626</v>
      </c>
      <c r="P59" s="106">
        <f>('CBA Inputs'!Q$164-'CBA Inputs'!Q166)*P$14</f>
        <v>742628.97913372517</v>
      </c>
      <c r="Q59" s="106">
        <f>('CBA Inputs'!R$164-'CBA Inputs'!R166)*Q$14</f>
        <v>-39329742.55739212</v>
      </c>
      <c r="R59" s="106">
        <f>('CBA Inputs'!S$164-'CBA Inputs'!S166)*R$14</f>
        <v>-232347222.11849499</v>
      </c>
      <c r="S59" s="106">
        <f>('CBA Inputs'!T$164-'CBA Inputs'!T166)*S$14</f>
        <v>217010674.86454868</v>
      </c>
      <c r="T59" s="106">
        <f>('CBA Inputs'!U$164-'CBA Inputs'!U166)*T$14</f>
        <v>7011427.6374909878</v>
      </c>
      <c r="U59" s="106">
        <f>('CBA Inputs'!V$164-'CBA Inputs'!V166)*U$14</f>
        <v>166720799.36078835</v>
      </c>
      <c r="V59" s="106">
        <f>('CBA Inputs'!W$164-'CBA Inputs'!W166)*V$14</f>
        <v>-110266780.19095278</v>
      </c>
      <c r="W59" s="106">
        <f>('CBA Inputs'!X$164-'CBA Inputs'!X166)*W$14</f>
        <v>-18662141.279263973</v>
      </c>
      <c r="X59" s="106">
        <f>('CBA Inputs'!Y$164-'CBA Inputs'!Y166)*X$14</f>
        <v>12015837.376588821</v>
      </c>
      <c r="Y59" s="106">
        <f>('CBA Inputs'!Z$164-'CBA Inputs'!Z166)*Y$14</f>
        <v>-14786418.024186611</v>
      </c>
      <c r="Z59" s="106">
        <f>('CBA Inputs'!AA$164-'CBA Inputs'!AA166)*Z$14</f>
        <v>29970659.494691372</v>
      </c>
      <c r="AA59" s="106">
        <f>('CBA Inputs'!AB$164-'CBA Inputs'!AB166)*AA$14</f>
        <v>17762501.665426135</v>
      </c>
      <c r="AB59" s="106">
        <f>('CBA Inputs'!AC$164-'CBA Inputs'!AC166)*AB$14</f>
        <v>1414749.8877418041</v>
      </c>
      <c r="AC59" s="106">
        <f>('CBA Inputs'!AD$164-'CBA Inputs'!AD166)*AC$14</f>
        <v>-59701543.849038601</v>
      </c>
      <c r="AD59" s="106">
        <f>('CBA Inputs'!AE$164-'CBA Inputs'!AE166)*AD$14</f>
        <v>3113394.1250170469</v>
      </c>
      <c r="AE59" s="106">
        <f>('CBA Inputs'!AF$164-'CBA Inputs'!AF166)*AE$14</f>
        <v>0</v>
      </c>
      <c r="AF59" s="106">
        <f>('CBA Inputs'!AG$164-'CBA Inputs'!AG166)*AF$14</f>
        <v>0</v>
      </c>
      <c r="AG59" s="106">
        <f>('CBA Inputs'!AH$164-'CBA Inputs'!AH166)*AG$14</f>
        <v>0</v>
      </c>
      <c r="AH59" s="106">
        <f>('CBA Inputs'!AI$164-'CBA Inputs'!AI166)*AH$14</f>
        <v>0</v>
      </c>
    </row>
    <row r="60" spans="2:34" x14ac:dyDescent="0.25">
      <c r="B60" s="114" t="str">
        <f>'Option inputs'!$C$17</f>
        <v>Option 1C</v>
      </c>
      <c r="C60" s="163" t="s">
        <v>35</v>
      </c>
      <c r="D60" s="123">
        <f>NPV(DiscountRate_ACTIVE,E60:AH60)/(1+DiscountRate_ACTIVE)^(FirstYear-BaseYear-2)*'Option inputs'!$F$15</f>
        <v>157001201.40343547</v>
      </c>
      <c r="E60" s="106">
        <f>('CBA Inputs'!F$164-'CBA Inputs'!F167)*E$14</f>
        <v>0</v>
      </c>
      <c r="F60" s="106">
        <f>('CBA Inputs'!G$164-'CBA Inputs'!G167)*F$14</f>
        <v>261.07599425315857</v>
      </c>
      <c r="G60" s="106">
        <f>('CBA Inputs'!H$164-'CBA Inputs'!H167)*G$14</f>
        <v>4326.4175020456314</v>
      </c>
      <c r="H60" s="106">
        <f>('CBA Inputs'!I$164-'CBA Inputs'!I167)*H$14</f>
        <v>76805228.378244638</v>
      </c>
      <c r="I60" s="106">
        <f>('CBA Inputs'!J$164-'CBA Inputs'!J167)*I$14</f>
        <v>33748929.018251181</v>
      </c>
      <c r="J60" s="106">
        <f>('CBA Inputs'!K$164-'CBA Inputs'!K167)*J$14</f>
        <v>-532701.13441860676</v>
      </c>
      <c r="K60" s="106">
        <f>('CBA Inputs'!L$164-'CBA Inputs'!L167)*K$14</f>
        <v>239905.58815646172</v>
      </c>
      <c r="L60" s="106">
        <f>('CBA Inputs'!M$164-'CBA Inputs'!M167)*L$14</f>
        <v>1364948.2071100473</v>
      </c>
      <c r="M60" s="106">
        <f>('CBA Inputs'!N$164-'CBA Inputs'!N167)*M$14</f>
        <v>1584871.1184043884</v>
      </c>
      <c r="N60" s="106">
        <f>('CBA Inputs'!O$164-'CBA Inputs'!O167)*N$14</f>
        <v>78264645.944090843</v>
      </c>
      <c r="O60" s="106">
        <f>('CBA Inputs'!P$164-'CBA Inputs'!P167)*O$14</f>
        <v>-48984381.944437027</v>
      </c>
      <c r="P60" s="106">
        <f>('CBA Inputs'!Q$164-'CBA Inputs'!Q167)*P$14</f>
        <v>-202928.09432065487</v>
      </c>
      <c r="Q60" s="106">
        <f>('CBA Inputs'!R$164-'CBA Inputs'!R167)*Q$14</f>
        <v>149936408.10614014</v>
      </c>
      <c r="R60" s="106">
        <f>('CBA Inputs'!S$164-'CBA Inputs'!S167)*R$14</f>
        <v>-51093030.040378571</v>
      </c>
      <c r="S60" s="106">
        <f>('CBA Inputs'!T$164-'CBA Inputs'!T167)*S$14</f>
        <v>-58301584.324174404</v>
      </c>
      <c r="T60" s="106">
        <f>('CBA Inputs'!U$164-'CBA Inputs'!U167)*T$14</f>
        <v>204404781.25037122</v>
      </c>
      <c r="U60" s="106">
        <f>('CBA Inputs'!V$164-'CBA Inputs'!V167)*U$14</f>
        <v>-55547397.311864853</v>
      </c>
      <c r="V60" s="106">
        <f>('CBA Inputs'!W$164-'CBA Inputs'!W167)*V$14</f>
        <v>-202350398.97724915</v>
      </c>
      <c r="W60" s="106">
        <f>('CBA Inputs'!X$164-'CBA Inputs'!X167)*W$14</f>
        <v>-15177073.828493357</v>
      </c>
      <c r="X60" s="106">
        <f>('CBA Inputs'!Y$164-'CBA Inputs'!Y167)*X$14</f>
        <v>-5101015.512762785</v>
      </c>
      <c r="Y60" s="106">
        <f>('CBA Inputs'!Z$164-'CBA Inputs'!Z167)*Y$14</f>
        <v>180196524.56750965</v>
      </c>
      <c r="Z60" s="106">
        <f>('CBA Inputs'!AA$164-'CBA Inputs'!AA167)*Z$14</f>
        <v>-115726392.14569998</v>
      </c>
      <c r="AA60" s="106">
        <f>('CBA Inputs'!AB$164-'CBA Inputs'!AB167)*AA$14</f>
        <v>24542881.752888083</v>
      </c>
      <c r="AB60" s="106">
        <f>('CBA Inputs'!AC$164-'CBA Inputs'!AC167)*AB$14</f>
        <v>12379211.573266149</v>
      </c>
      <c r="AC60" s="106">
        <f>('CBA Inputs'!AD$164-'CBA Inputs'!AD167)*AC$14</f>
        <v>-8223070.523182869</v>
      </c>
      <c r="AD60" s="106">
        <f>('CBA Inputs'!AE$164-'CBA Inputs'!AE167)*AD$14</f>
        <v>-1953345.6897150278</v>
      </c>
      <c r="AE60" s="106">
        <f>('CBA Inputs'!AF$164-'CBA Inputs'!AF167)*AE$14</f>
        <v>0</v>
      </c>
      <c r="AF60" s="106">
        <f>('CBA Inputs'!AG$164-'CBA Inputs'!AG167)*AF$14</f>
        <v>0</v>
      </c>
      <c r="AG60" s="106">
        <f>('CBA Inputs'!AH$164-'CBA Inputs'!AH167)*AG$14</f>
        <v>0</v>
      </c>
      <c r="AH60" s="106">
        <f>('CBA Inputs'!AI$164-'CBA Inputs'!AI167)*AH$14</f>
        <v>0</v>
      </c>
    </row>
    <row r="61" spans="2:34" x14ac:dyDescent="0.25">
      <c r="B61" s="114" t="str">
        <f>'Option inputs'!$C$18</f>
        <v>Option 1D</v>
      </c>
      <c r="C61" s="163" t="s">
        <v>35</v>
      </c>
      <c r="D61" s="123">
        <f>NPV(DiscountRate_ACTIVE,E61:AH61)/(1+DiscountRate_ACTIVE)^(FirstYear-BaseYear-2)*'Option inputs'!$F$15</f>
        <v>97069083.216886893</v>
      </c>
      <c r="E61" s="106">
        <f>('CBA Inputs'!F$164-'CBA Inputs'!F168)*E$14</f>
        <v>0</v>
      </c>
      <c r="F61" s="106">
        <f>('CBA Inputs'!G$164-'CBA Inputs'!G168)*F$14</f>
        <v>309.64816272258759</v>
      </c>
      <c r="G61" s="106">
        <f>('CBA Inputs'!H$164-'CBA Inputs'!H168)*G$14</f>
        <v>3909.8042258024216</v>
      </c>
      <c r="H61" s="106">
        <f>('CBA Inputs'!I$164-'CBA Inputs'!I168)*H$14</f>
        <v>72629154.669594526</v>
      </c>
      <c r="I61" s="106">
        <f>('CBA Inputs'!J$164-'CBA Inputs'!J168)*I$14</f>
        <v>37847177.573509455</v>
      </c>
      <c r="J61" s="106">
        <f>('CBA Inputs'!K$164-'CBA Inputs'!K168)*J$14</f>
        <v>-491510.41462624073</v>
      </c>
      <c r="K61" s="106">
        <f>('CBA Inputs'!L$164-'CBA Inputs'!L168)*K$14</f>
        <v>6188.1936353445053</v>
      </c>
      <c r="L61" s="106">
        <f>('CBA Inputs'!M$164-'CBA Inputs'!M168)*L$14</f>
        <v>533211.16146945953</v>
      </c>
      <c r="M61" s="106">
        <f>('CBA Inputs'!N$164-'CBA Inputs'!N168)*M$14</f>
        <v>-1952828.8707261086</v>
      </c>
      <c r="N61" s="106">
        <f>('CBA Inputs'!O$164-'CBA Inputs'!O168)*N$14</f>
        <v>58248030.093525887</v>
      </c>
      <c r="O61" s="106">
        <f>('CBA Inputs'!P$164-'CBA Inputs'!P168)*O$14</f>
        <v>-75736504.559878349</v>
      </c>
      <c r="P61" s="106">
        <f>('CBA Inputs'!Q$164-'CBA Inputs'!Q168)*P$14</f>
        <v>413629.90555894375</v>
      </c>
      <c r="Q61" s="106">
        <f>('CBA Inputs'!R$164-'CBA Inputs'!R168)*Q$14</f>
        <v>93252810.091474533</v>
      </c>
      <c r="R61" s="106">
        <f>('CBA Inputs'!S$164-'CBA Inputs'!S168)*R$14</f>
        <v>-14669314.157997131</v>
      </c>
      <c r="S61" s="106">
        <f>('CBA Inputs'!T$164-'CBA Inputs'!T168)*S$14</f>
        <v>-15685531.675666332</v>
      </c>
      <c r="T61" s="106">
        <f>('CBA Inputs'!U$164-'CBA Inputs'!U168)*T$14</f>
        <v>12336846.063528299</v>
      </c>
      <c r="U61" s="106">
        <f>('CBA Inputs'!V$164-'CBA Inputs'!V168)*U$14</f>
        <v>37407823.9880867</v>
      </c>
      <c r="V61" s="106">
        <f>('CBA Inputs'!W$164-'CBA Inputs'!W168)*V$14</f>
        <v>-120079045.7722621</v>
      </c>
      <c r="W61" s="106">
        <f>('CBA Inputs'!X$164-'CBA Inputs'!X168)*W$14</f>
        <v>-3368463.6403045654</v>
      </c>
      <c r="X61" s="106">
        <f>('CBA Inputs'!Y$164-'CBA Inputs'!Y168)*X$14</f>
        <v>-3776610.0652067661</v>
      </c>
      <c r="Y61" s="106">
        <f>('CBA Inputs'!Z$164-'CBA Inputs'!Z168)*Y$14</f>
        <v>55595344.725241184</v>
      </c>
      <c r="Z61" s="106">
        <f>('CBA Inputs'!AA$164-'CBA Inputs'!AA168)*Z$14</f>
        <v>-50839554.38020134</v>
      </c>
      <c r="AA61" s="106">
        <f>('CBA Inputs'!AB$164-'CBA Inputs'!AB168)*AA$14</f>
        <v>5775653.1189908981</v>
      </c>
      <c r="AB61" s="106">
        <f>('CBA Inputs'!AC$164-'CBA Inputs'!AC168)*AB$14</f>
        <v>-2465426.7933007479</v>
      </c>
      <c r="AC61" s="106">
        <f>('CBA Inputs'!AD$164-'CBA Inputs'!AD168)*AC$14</f>
        <v>5866173.7085323334</v>
      </c>
      <c r="AD61" s="106">
        <f>('CBA Inputs'!AE$164-'CBA Inputs'!AE168)*AD$14</f>
        <v>-3268475.0958052874</v>
      </c>
      <c r="AE61" s="106">
        <f>('CBA Inputs'!AF$164-'CBA Inputs'!AF168)*AE$14</f>
        <v>0</v>
      </c>
      <c r="AF61" s="106">
        <f>('CBA Inputs'!AG$164-'CBA Inputs'!AG168)*AF$14</f>
        <v>0</v>
      </c>
      <c r="AG61" s="106">
        <f>('CBA Inputs'!AH$164-'CBA Inputs'!AH168)*AG$14</f>
        <v>0</v>
      </c>
      <c r="AH61" s="106">
        <f>('CBA Inputs'!AI$164-'CBA Inputs'!AI168)*AH$14</f>
        <v>0</v>
      </c>
    </row>
    <row r="63" spans="2:34" ht="13" x14ac:dyDescent="0.3">
      <c r="B63" s="113" t="str">
        <f>E6</f>
        <v>Step change</v>
      </c>
      <c r="C63" s="158" t="s">
        <v>7</v>
      </c>
      <c r="D63" s="107" t="s">
        <v>38</v>
      </c>
      <c r="E63" s="107" t="str">
        <f>E$19</f>
        <v>FY 2019-20</v>
      </c>
      <c r="F63" s="107" t="str">
        <f t="shared" ref="F63:AH63" si="6">F$19</f>
        <v>FY 2020-21</v>
      </c>
      <c r="G63" s="107" t="str">
        <f t="shared" si="6"/>
        <v>FY 2021-22</v>
      </c>
      <c r="H63" s="107" t="str">
        <f t="shared" si="6"/>
        <v>FY 2022-23</v>
      </c>
      <c r="I63" s="107" t="str">
        <f t="shared" si="6"/>
        <v>FY 2023-24</v>
      </c>
      <c r="J63" s="107" t="str">
        <f t="shared" si="6"/>
        <v>FY 2024-25</v>
      </c>
      <c r="K63" s="107" t="str">
        <f t="shared" si="6"/>
        <v>FY 2025-26</v>
      </c>
      <c r="L63" s="107" t="str">
        <f t="shared" si="6"/>
        <v>FY 2026-27</v>
      </c>
      <c r="M63" s="107" t="str">
        <f t="shared" si="6"/>
        <v>FY 2027-28</v>
      </c>
      <c r="N63" s="107" t="str">
        <f t="shared" si="6"/>
        <v>FY 2028-29</v>
      </c>
      <c r="O63" s="107" t="str">
        <f t="shared" si="6"/>
        <v>FY 2029-30</v>
      </c>
      <c r="P63" s="107" t="str">
        <f t="shared" si="6"/>
        <v>FY 2030-31</v>
      </c>
      <c r="Q63" s="107" t="str">
        <f t="shared" si="6"/>
        <v>FY 2031-32</v>
      </c>
      <c r="R63" s="107" t="str">
        <f t="shared" si="6"/>
        <v>FY 2032-33</v>
      </c>
      <c r="S63" s="107" t="str">
        <f t="shared" si="6"/>
        <v>FY 2033-34</v>
      </c>
      <c r="T63" s="107" t="str">
        <f t="shared" si="6"/>
        <v>FY 2034-35</v>
      </c>
      <c r="U63" s="107" t="str">
        <f t="shared" si="6"/>
        <v>FY 2035-36</v>
      </c>
      <c r="V63" s="107" t="str">
        <f t="shared" si="6"/>
        <v>FY 2036-37</v>
      </c>
      <c r="W63" s="107" t="str">
        <f t="shared" si="6"/>
        <v>FY 2037-38</v>
      </c>
      <c r="X63" s="107" t="str">
        <f t="shared" si="6"/>
        <v>FY 2038-39</v>
      </c>
      <c r="Y63" s="107" t="str">
        <f t="shared" si="6"/>
        <v>FY 2039-40</v>
      </c>
      <c r="Z63" s="107" t="str">
        <f t="shared" si="6"/>
        <v>FY 2040-41</v>
      </c>
      <c r="AA63" s="107" t="str">
        <f t="shared" si="6"/>
        <v>FY 2041-42</v>
      </c>
      <c r="AB63" s="107" t="str">
        <f t="shared" si="6"/>
        <v>FY 2042-43</v>
      </c>
      <c r="AC63" s="107" t="str">
        <f t="shared" si="6"/>
        <v>FY 2043-44</v>
      </c>
      <c r="AD63" s="107" t="str">
        <f t="shared" si="6"/>
        <v>FY 2044-45</v>
      </c>
      <c r="AE63" s="107" t="str">
        <f t="shared" si="6"/>
        <v>FY 2045-46</v>
      </c>
      <c r="AF63" s="107" t="str">
        <f t="shared" si="6"/>
        <v>FY 2046-47</v>
      </c>
      <c r="AG63" s="107" t="str">
        <f t="shared" si="6"/>
        <v>FY 2047-48</v>
      </c>
      <c r="AH63" s="107" t="str">
        <f t="shared" si="6"/>
        <v>FY 2048-49</v>
      </c>
    </row>
    <row r="64" spans="2:34" ht="13" x14ac:dyDescent="0.3">
      <c r="B64" s="122" t="str">
        <f>B33</f>
        <v>Involuntary load shedding</v>
      </c>
      <c r="C64" s="122"/>
      <c r="D64" s="123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</row>
    <row r="65" spans="2:34" x14ac:dyDescent="0.25">
      <c r="B65" s="114" t="str">
        <f>'Option inputs'!$C$15</f>
        <v>Option 1A</v>
      </c>
      <c r="C65" s="163" t="s">
        <v>35</v>
      </c>
      <c r="D65" s="123">
        <f>NPV(DiscountRate_ACTIVE,E65:AH65)/(1+DiscountRate_ACTIVE)^(FirstYear-BaseYear-2)*'Option inputs'!$F$15</f>
        <v>7923449.8414313737</v>
      </c>
      <c r="E65" s="106">
        <f>('CBA Inputs'!F$51-'CBA Inputs'!F52)*E$14</f>
        <v>0</v>
      </c>
      <c r="F65" s="106">
        <f>('CBA Inputs'!G$51-'CBA Inputs'!G52)*F$14</f>
        <v>3.8301329775000115E-2</v>
      </c>
      <c r="G65" s="106">
        <f>('CBA Inputs'!H$51-'CBA Inputs'!H52)*G$14</f>
        <v>3.6042923107743263E-2</v>
      </c>
      <c r="H65" s="106">
        <f>('CBA Inputs'!I$51-'CBA Inputs'!I52)*H$14</f>
        <v>-3409504.9141589068</v>
      </c>
      <c r="I65" s="106">
        <f>('CBA Inputs'!J$51-'CBA Inputs'!J52)*I$14</f>
        <v>712031.69955579937</v>
      </c>
      <c r="J65" s="106">
        <f>('CBA Inputs'!K$51-'CBA Inputs'!K52)*J$14</f>
        <v>6754387.1241225451</v>
      </c>
      <c r="K65" s="106">
        <f>('CBA Inputs'!L$51-'CBA Inputs'!L52)*K$14</f>
        <v>5.103613277060326E-2</v>
      </c>
      <c r="L65" s="106">
        <f>('CBA Inputs'!M$51-'CBA Inputs'!M52)*L$14</f>
        <v>5.4041646336452587E-2</v>
      </c>
      <c r="M65" s="106">
        <f>('CBA Inputs'!N$51-'CBA Inputs'!N52)*M$14</f>
        <v>5.7413666742643699E-2</v>
      </c>
      <c r="N65" s="106">
        <f>('CBA Inputs'!O$51-'CBA Inputs'!O52)*N$14</f>
        <v>526810.13427426829</v>
      </c>
      <c r="O65" s="106">
        <f>('CBA Inputs'!P$51-'CBA Inputs'!P52)*O$14</f>
        <v>-2333728.939420484</v>
      </c>
      <c r="P65" s="106">
        <f>('CBA Inputs'!Q$51-'CBA Inputs'!Q52)*P$14</f>
        <v>-57991.557100884616</v>
      </c>
      <c r="Q65" s="106">
        <f>('CBA Inputs'!R$51-'CBA Inputs'!R52)*Q$14</f>
        <v>7.21331270190948E-2</v>
      </c>
      <c r="R65" s="106">
        <f>('CBA Inputs'!S$51-'CBA Inputs'!S52)*R$14</f>
        <v>-2154434.8439322114</v>
      </c>
      <c r="S65" s="106">
        <f>('CBA Inputs'!T$51-'CBA Inputs'!T52)*S$14</f>
        <v>-2226317.1399634443</v>
      </c>
      <c r="T65" s="106">
        <f>('CBA Inputs'!U$51-'CBA Inputs'!U52)*T$14</f>
        <v>-422119.39418159542</v>
      </c>
      <c r="U65" s="106">
        <f>('CBA Inputs'!V$51-'CBA Inputs'!V52)*U$14</f>
        <v>-642598.5610473156</v>
      </c>
      <c r="V65" s="106">
        <f>('CBA Inputs'!W$51-'CBA Inputs'!W52)*V$14</f>
        <v>9.538927221304716E-2</v>
      </c>
      <c r="W65" s="106">
        <f>('CBA Inputs'!X$51-'CBA Inputs'!X52)*W$14</f>
        <v>0.1009214810885446</v>
      </c>
      <c r="X65" s="106">
        <f>('CBA Inputs'!Y$51-'CBA Inputs'!Y52)*X$14</f>
        <v>-44022.641653296138</v>
      </c>
      <c r="Y65" s="106">
        <f>('CBA Inputs'!Z$51-'CBA Inputs'!Z52)*Y$14</f>
        <v>23549071.283377081</v>
      </c>
      <c r="Z65" s="106">
        <f>('CBA Inputs'!AA$51-'CBA Inputs'!AA52)*Z$14</f>
        <v>0.11970326396919218</v>
      </c>
      <c r="AA65" s="106">
        <f>('CBA Inputs'!AB$51-'CBA Inputs'!AB52)*AA$14</f>
        <v>1576431.1315540299</v>
      </c>
      <c r="AB65" s="106">
        <f>('CBA Inputs'!AC$51-'CBA Inputs'!AC52)*AB$14</f>
        <v>-56093.357751833275</v>
      </c>
      <c r="AC65" s="106">
        <f>('CBA Inputs'!AD$51-'CBA Inputs'!AD52)*AC$14</f>
        <v>1202409.9822131963</v>
      </c>
      <c r="AD65" s="106">
        <f>('CBA Inputs'!AE$51-'CBA Inputs'!AE52)*AD$14</f>
        <v>0.15036493966499132</v>
      </c>
      <c r="AE65" s="106">
        <f>('CBA Inputs'!AF$51-'CBA Inputs'!AF52)*AE$14</f>
        <v>0</v>
      </c>
      <c r="AF65" s="106">
        <f>('CBA Inputs'!AG$51-'CBA Inputs'!AG52)*AF$14</f>
        <v>0</v>
      </c>
      <c r="AG65" s="106">
        <f>('CBA Inputs'!AH$51-'CBA Inputs'!AH52)*AG$14</f>
        <v>0</v>
      </c>
      <c r="AH65" s="106">
        <f>('CBA Inputs'!AI$51-'CBA Inputs'!AI52)*AH$14</f>
        <v>0</v>
      </c>
    </row>
    <row r="66" spans="2:34" x14ac:dyDescent="0.25">
      <c r="B66" s="114" t="str">
        <f>'Option inputs'!$C$16</f>
        <v>Option 1B</v>
      </c>
      <c r="C66" s="163" t="s">
        <v>35</v>
      </c>
      <c r="D66" s="123">
        <f>NPV(DiscountRate_ACTIVE,E66:AH66)/(1+DiscountRate_ACTIVE)^(FirstYear-BaseYear-2)*'Option inputs'!$F$15</f>
        <v>-12497995.800964646</v>
      </c>
      <c r="E66" s="106">
        <f>('CBA Inputs'!F$51-'CBA Inputs'!F53)*E$14</f>
        <v>0</v>
      </c>
      <c r="F66" s="106">
        <f>('CBA Inputs'!G$51-'CBA Inputs'!G53)*F$14</f>
        <v>-1.1419877548750001</v>
      </c>
      <c r="G66" s="106">
        <f>('CBA Inputs'!H$51-'CBA Inputs'!H53)*G$14</f>
        <v>1.0961571373045444</v>
      </c>
      <c r="H66" s="106">
        <f>('CBA Inputs'!I$51-'CBA Inputs'!I53)*H$14</f>
        <v>-6156663.203718178</v>
      </c>
      <c r="I66" s="106">
        <f>('CBA Inputs'!J$51-'CBA Inputs'!J53)*I$14</f>
        <v>1151613.1480840147</v>
      </c>
      <c r="J66" s="106">
        <f>('CBA Inputs'!K$51-'CBA Inputs'!K53)*J$14</f>
        <v>653462.52387644351</v>
      </c>
      <c r="K66" s="106">
        <f>('CBA Inputs'!L$51-'CBA Inputs'!L53)*K$14</f>
        <v>-1.5219618823960415</v>
      </c>
      <c r="L66" s="106">
        <f>('CBA Inputs'!M$51-'CBA Inputs'!M53)*L$14</f>
        <v>-1.6113665812121267</v>
      </c>
      <c r="M66" s="106">
        <f>('CBA Inputs'!N$51-'CBA Inputs'!N53)*M$14</f>
        <v>-1.7120325423868945</v>
      </c>
      <c r="N66" s="106">
        <f>('CBA Inputs'!O$51-'CBA Inputs'!O53)*N$14</f>
        <v>-432090.44746595703</v>
      </c>
      <c r="O66" s="106">
        <f>('CBA Inputs'!P$51-'CBA Inputs'!P53)*O$14</f>
        <v>-2179488.1922232918</v>
      </c>
      <c r="P66" s="106">
        <f>('CBA Inputs'!Q$51-'CBA Inputs'!Q53)*P$14</f>
        <v>-809613.29549572989</v>
      </c>
      <c r="Q66" s="106">
        <f>('CBA Inputs'!R$51-'CBA Inputs'!R53)*Q$14</f>
        <v>-2.1517136777993642</v>
      </c>
      <c r="R66" s="106">
        <f>('CBA Inputs'!S$51-'CBA Inputs'!S53)*R$14</f>
        <v>-6262152.8571061268</v>
      </c>
      <c r="S66" s="106">
        <f>('CBA Inputs'!T$51-'CBA Inputs'!T53)*S$14</f>
        <v>-6706980.9332809225</v>
      </c>
      <c r="T66" s="106">
        <f>('CBA Inputs'!U$51-'CBA Inputs'!U53)*T$14</f>
        <v>-1285064.0737282287</v>
      </c>
      <c r="U66" s="106">
        <f>('CBA Inputs'!V$51-'CBA Inputs'!V53)*U$14</f>
        <v>415088.9495626986</v>
      </c>
      <c r="V66" s="106">
        <f>('CBA Inputs'!W$51-'CBA Inputs'!W53)*V$14</f>
        <v>-2.8473597406473474</v>
      </c>
      <c r="W66" s="106">
        <f>('CBA Inputs'!X$51-'CBA Inputs'!X53)*W$14</f>
        <v>-3.0120875777357603</v>
      </c>
      <c r="X66" s="106">
        <f>('CBA Inputs'!Y$51-'CBA Inputs'!Y53)*X$14</f>
        <v>-33674.019628685637</v>
      </c>
      <c r="Y66" s="106">
        <f>('CBA Inputs'!Z$51-'CBA Inputs'!Z53)*Y$14</f>
        <v>175256.91281013936</v>
      </c>
      <c r="Z66" s="106">
        <f>('CBA Inputs'!AA$51-'CBA Inputs'!AA53)*Z$14</f>
        <v>-3.5758570874680293</v>
      </c>
      <c r="AA66" s="106">
        <f>('CBA Inputs'!AB$51-'CBA Inputs'!AB53)*AA$14</f>
        <v>2027197.6531770378</v>
      </c>
      <c r="AB66" s="106">
        <f>('CBA Inputs'!AC$51-'CBA Inputs'!AC53)*AB$14</f>
        <v>-3093.8075555805117</v>
      </c>
      <c r="AC66" s="106">
        <f>('CBA Inputs'!AD$51-'CBA Inputs'!AD53)*AC$14</f>
        <v>-1458046.2541374741</v>
      </c>
      <c r="AD66" s="106">
        <f>('CBA Inputs'!AE$51-'CBA Inputs'!AE53)*AD$14</f>
        <v>-4.4809183195529334</v>
      </c>
      <c r="AE66" s="106">
        <f>('CBA Inputs'!AF$51-'CBA Inputs'!AF53)*AE$14</f>
        <v>0</v>
      </c>
      <c r="AF66" s="106">
        <f>('CBA Inputs'!AG$51-'CBA Inputs'!AG53)*AF$14</f>
        <v>0</v>
      </c>
      <c r="AG66" s="106">
        <f>('CBA Inputs'!AH$51-'CBA Inputs'!AH53)*AG$14</f>
        <v>0</v>
      </c>
      <c r="AH66" s="106">
        <f>('CBA Inputs'!AI$51-'CBA Inputs'!AI53)*AH$14</f>
        <v>0</v>
      </c>
    </row>
    <row r="67" spans="2:34" x14ac:dyDescent="0.25">
      <c r="B67" s="114" t="str">
        <f>'Option inputs'!$C$17</f>
        <v>Option 1C</v>
      </c>
      <c r="C67" s="163" t="s">
        <v>35</v>
      </c>
      <c r="D67" s="123">
        <f>NPV(DiscountRate_ACTIVE,E67:AH67)/(1+DiscountRate_ACTIVE)^(FirstYear-BaseYear-2)*'Option inputs'!$F$15</f>
        <v>16598834.347489329</v>
      </c>
      <c r="E67" s="106">
        <f>('CBA Inputs'!F$51-'CBA Inputs'!F54)*E$14</f>
        <v>0</v>
      </c>
      <c r="F67" s="106">
        <f>('CBA Inputs'!G$51-'CBA Inputs'!G54)*F$14</f>
        <v>0.23935602175000004</v>
      </c>
      <c r="G67" s="106">
        <f>('CBA Inputs'!H$51-'CBA Inputs'!H54)*G$14</f>
        <v>0.22525458224117756</v>
      </c>
      <c r="H67" s="106">
        <f>('CBA Inputs'!I$51-'CBA Inputs'!I54)*H$14</f>
        <v>4729418.0777429231</v>
      </c>
      <c r="I67" s="106">
        <f>('CBA Inputs'!J$51-'CBA Inputs'!J54)*I$14</f>
        <v>137944.2745590508</v>
      </c>
      <c r="J67" s="106">
        <f>('CBA Inputs'!K$51-'CBA Inputs'!K54)*J$14</f>
        <v>10319723.836140662</v>
      </c>
      <c r="K67" s="106">
        <f>('CBA Inputs'!L$51-'CBA Inputs'!L54)*K$14</f>
        <v>0.31886798571461217</v>
      </c>
      <c r="L67" s="106">
        <f>('CBA Inputs'!M$51-'CBA Inputs'!M54)*L$14</f>
        <v>0.33755720028860137</v>
      </c>
      <c r="M67" s="106">
        <f>('CBA Inputs'!N$51-'CBA Inputs'!N54)*M$14</f>
        <v>0.35866967669441197</v>
      </c>
      <c r="N67" s="106">
        <f>('CBA Inputs'!O$51-'CBA Inputs'!O54)*N$14</f>
        <v>-2691496.692161689</v>
      </c>
      <c r="O67" s="106">
        <f>('CBA Inputs'!P$51-'CBA Inputs'!P54)*O$14</f>
        <v>-545027.949019894</v>
      </c>
      <c r="P67" s="106">
        <f>('CBA Inputs'!Q$51-'CBA Inputs'!Q54)*P$14</f>
        <v>-1398742.8159891106</v>
      </c>
      <c r="Q67" s="106">
        <f>('CBA Inputs'!R$51-'CBA Inputs'!R54)*Q$14</f>
        <v>0.45079708785948491</v>
      </c>
      <c r="R67" s="106">
        <f>('CBA Inputs'!S$51-'CBA Inputs'!S54)*R$14</f>
        <v>1621426.4503922611</v>
      </c>
      <c r="S67" s="106">
        <f>('CBA Inputs'!T$51-'CBA Inputs'!T54)*S$14</f>
        <v>1274147.8638204224</v>
      </c>
      <c r="T67" s="106">
        <f>('CBA Inputs'!U$51-'CBA Inputs'!U54)*T$14</f>
        <v>241808.36242757482</v>
      </c>
      <c r="U67" s="106">
        <f>('CBA Inputs'!V$51-'CBA Inputs'!V54)*U$14</f>
        <v>-2164942.038194418</v>
      </c>
      <c r="V67" s="106">
        <f>('CBA Inputs'!W$51-'CBA Inputs'!W54)*V$14</f>
        <v>0.59683689802686368</v>
      </c>
      <c r="W67" s="106">
        <f>('CBA Inputs'!X$51-'CBA Inputs'!X54)*W$14</f>
        <v>0.63140849281655997</v>
      </c>
      <c r="X67" s="106">
        <f>('CBA Inputs'!Y$51-'CBA Inputs'!Y54)*X$14</f>
        <v>0.6679778016391853</v>
      </c>
      <c r="Y67" s="106">
        <f>('CBA Inputs'!Z$51-'CBA Inputs'!Z54)*Y$14</f>
        <v>19177461.07967069</v>
      </c>
      <c r="Z67" s="106">
        <f>('CBA Inputs'!AA$51-'CBA Inputs'!AA54)*Z$14</f>
        <v>0.75001671306534812</v>
      </c>
      <c r="AA67" s="106">
        <f>('CBA Inputs'!AB$51-'CBA Inputs'!AB54)*AA$14</f>
        <v>-478262.60276648402</v>
      </c>
      <c r="AB67" s="106">
        <f>('CBA Inputs'!AC$51-'CBA Inputs'!AC54)*AB$14</f>
        <v>-26806.563340801746</v>
      </c>
      <c r="AC67" s="106">
        <f>('CBA Inputs'!AD$51-'CBA Inputs'!AD54)*AC$14</f>
        <v>-142460.33979512658</v>
      </c>
      <c r="AD67" s="106">
        <f>('CBA Inputs'!AE$51-'CBA Inputs'!AE54)*AD$14</f>
        <v>0.94333378623602693</v>
      </c>
      <c r="AE67" s="106">
        <f>('CBA Inputs'!AF$51-'CBA Inputs'!AF54)*AE$14</f>
        <v>0</v>
      </c>
      <c r="AF67" s="106">
        <f>('CBA Inputs'!AG$51-'CBA Inputs'!AG54)*AF$14</f>
        <v>0</v>
      </c>
      <c r="AG67" s="106">
        <f>('CBA Inputs'!AH$51-'CBA Inputs'!AH54)*AG$14</f>
        <v>0</v>
      </c>
      <c r="AH67" s="106">
        <f>('CBA Inputs'!AI$51-'CBA Inputs'!AI54)*AH$14</f>
        <v>0</v>
      </c>
    </row>
    <row r="68" spans="2:34" x14ac:dyDescent="0.25">
      <c r="B68" s="114" t="str">
        <f>'Option inputs'!$C$18</f>
        <v>Option 1D</v>
      </c>
      <c r="C68" s="163" t="s">
        <v>35</v>
      </c>
      <c r="D68" s="123">
        <f>NPV(DiscountRate_ACTIVE,E68:AH68)/(1+DiscountRate_ACTIVE)^(FirstYear-BaseYear-2)*'Option inputs'!$F$15</f>
        <v>5110158.0920185484</v>
      </c>
      <c r="E68" s="106">
        <f>('CBA Inputs'!F$51-'CBA Inputs'!F55)*E$14</f>
        <v>0</v>
      </c>
      <c r="F68" s="106">
        <f>('CBA Inputs'!G$51-'CBA Inputs'!G55)*F$14</f>
        <v>-1.2252842363749998</v>
      </c>
      <c r="G68" s="106">
        <f>('CBA Inputs'!H$51-'CBA Inputs'!H55)*G$14</f>
        <v>1.0180481486022472</v>
      </c>
      <c r="H68" s="106">
        <f>('CBA Inputs'!I$51-'CBA Inputs'!I55)*H$14</f>
        <v>3234889.7930625528</v>
      </c>
      <c r="I68" s="106">
        <f>('CBA Inputs'!J$51-'CBA Inputs'!J55)*I$14</f>
        <v>-774705.09250859916</v>
      </c>
      <c r="J68" s="106">
        <f>('CBA Inputs'!K$51-'CBA Inputs'!K55)*J$14</f>
        <v>7187245.4444072545</v>
      </c>
      <c r="K68" s="106">
        <f>('CBA Inputs'!L$51-'CBA Inputs'!L55)*K$14</f>
        <v>-1.6318463920679276</v>
      </c>
      <c r="L68" s="106">
        <f>('CBA Inputs'!M$51-'CBA Inputs'!M55)*L$14</f>
        <v>-1.7274149638856904</v>
      </c>
      <c r="M68" s="106">
        <f>('CBA Inputs'!N$51-'CBA Inputs'!N55)*M$14</f>
        <v>-1.8355688700645383</v>
      </c>
      <c r="N68" s="106">
        <f>('CBA Inputs'!O$51-'CBA Inputs'!O55)*N$14</f>
        <v>-2311940.4535458516</v>
      </c>
      <c r="O68" s="106">
        <f>('CBA Inputs'!P$51-'CBA Inputs'!P55)*O$14</f>
        <v>-1.822710083797574</v>
      </c>
      <c r="P68" s="106">
        <f>('CBA Inputs'!Q$51-'CBA Inputs'!Q55)*P$14</f>
        <v>-1242321.2268987745</v>
      </c>
      <c r="Q68" s="106">
        <f>('CBA Inputs'!R$51-'CBA Inputs'!R55)*Q$14</f>
        <v>-2.3069797130723044</v>
      </c>
      <c r="R68" s="106">
        <f>('CBA Inputs'!S$51-'CBA Inputs'!S55)*R$14</f>
        <v>894655.48805719614</v>
      </c>
      <c r="S68" s="106">
        <f>('CBA Inputs'!T$51-'CBA Inputs'!T55)*S$14</f>
        <v>-644449.91751405597</v>
      </c>
      <c r="T68" s="106">
        <f>('CBA Inputs'!U$51-'CBA Inputs'!U55)*T$14</f>
        <v>-294629.8529275246</v>
      </c>
      <c r="U68" s="106">
        <f>('CBA Inputs'!V$51-'CBA Inputs'!V55)*U$14</f>
        <v>-1286042.6835887432</v>
      </c>
      <c r="V68" s="106">
        <f>('CBA Inputs'!W$51-'CBA Inputs'!W55)*V$14</f>
        <v>-3.0548283510700629</v>
      </c>
      <c r="W68" s="106">
        <f>('CBA Inputs'!X$51-'CBA Inputs'!X55)*W$14</f>
        <v>-3.2320279813031898</v>
      </c>
      <c r="X68" s="106">
        <f>('CBA Inputs'!Y$51-'CBA Inputs'!Y55)*X$14</f>
        <v>-3.4190756482994353</v>
      </c>
      <c r="Y68" s="106">
        <f>('CBA Inputs'!Z$51-'CBA Inputs'!Z55)*Y$14</f>
        <v>-121002.36778797209</v>
      </c>
      <c r="Z68" s="106">
        <f>('CBA Inputs'!AA$51-'CBA Inputs'!AA55)*Z$14</f>
        <v>-3.8406084416592963</v>
      </c>
      <c r="AA68" s="106">
        <f>('CBA Inputs'!AB$51-'CBA Inputs'!AB55)*AA$14</f>
        <v>-239435.88542845845</v>
      </c>
      <c r="AB68" s="106">
        <f>('CBA Inputs'!AC$51-'CBA Inputs'!AC55)*AB$14</f>
        <v>-20228.673389364034</v>
      </c>
      <c r="AC68" s="106">
        <f>('CBA Inputs'!AD$51-'CBA Inputs'!AD55)*AC$14</f>
        <v>-89304.713925972581</v>
      </c>
      <c r="AD68" s="106">
        <f>('CBA Inputs'!AE$51-'CBA Inputs'!AE55)*AD$14</f>
        <v>-4.8344870243232689</v>
      </c>
      <c r="AE68" s="106">
        <f>('CBA Inputs'!AF$51-'CBA Inputs'!AF55)*AE$14</f>
        <v>0</v>
      </c>
      <c r="AF68" s="106">
        <f>('CBA Inputs'!AG$51-'CBA Inputs'!AG55)*AF$14</f>
        <v>0</v>
      </c>
      <c r="AG68" s="106">
        <f>('CBA Inputs'!AH$51-'CBA Inputs'!AH55)*AG$14</f>
        <v>0</v>
      </c>
      <c r="AH68" s="106">
        <f>('CBA Inputs'!AI$51-'CBA Inputs'!AI55)*AH$14</f>
        <v>0</v>
      </c>
    </row>
    <row r="69" spans="2:34" x14ac:dyDescent="0.25">
      <c r="B69" s="114"/>
      <c r="C69" s="114"/>
      <c r="D69" s="123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</row>
    <row r="70" spans="2:34" ht="13" x14ac:dyDescent="0.3">
      <c r="B70" s="122" t="str">
        <f>B39</f>
        <v>Difference in timing of unrelated expenditure</v>
      </c>
      <c r="C70" s="122"/>
      <c r="D70" s="123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</row>
    <row r="71" spans="2:34" x14ac:dyDescent="0.25">
      <c r="B71" s="114" t="str">
        <f>'Option inputs'!$C$15</f>
        <v>Option 1A</v>
      </c>
      <c r="C71" s="163" t="s">
        <v>35</v>
      </c>
      <c r="D71" s="123">
        <f>NPV(DiscountRate_ACTIVE,E71:AH71)/(1+DiscountRate_ACTIVE)^(FirstYear-BaseYear-2)*'Option inputs'!$F$15</f>
        <v>39097225.937965624</v>
      </c>
      <c r="E71" s="106">
        <f>('CBA Inputs'!F$81-'CBA Inputs'!F82)*E$14</f>
        <v>0</v>
      </c>
      <c r="F71" s="106">
        <f>('CBA Inputs'!G$81-'CBA Inputs'!G82)*F$14</f>
        <v>0.4654370144231148</v>
      </c>
      <c r="G71" s="106">
        <f>('CBA Inputs'!H$81-'CBA Inputs'!H82)*G$14</f>
        <v>3.0395345841962351E-2</v>
      </c>
      <c r="H71" s="106">
        <f>('CBA Inputs'!I$81-'CBA Inputs'!I82)*H$14</f>
        <v>14286756.865490526</v>
      </c>
      <c r="I71" s="106">
        <f>('CBA Inputs'!J$81-'CBA Inputs'!J82)*I$14</f>
        <v>-2.3198176116815961E-2</v>
      </c>
      <c r="J71" s="106">
        <f>('CBA Inputs'!K$81-'CBA Inputs'!K82)*J$14</f>
        <v>-12259995.760250479</v>
      </c>
      <c r="K71" s="106">
        <f>('CBA Inputs'!L$81-'CBA Inputs'!L82)*K$14</f>
        <v>18675692.30935286</v>
      </c>
      <c r="L71" s="106">
        <f>('CBA Inputs'!M$81-'CBA Inputs'!M82)*L$14</f>
        <v>2.4541688414086826E-2</v>
      </c>
      <c r="M71" s="106">
        <f>('CBA Inputs'!N$81-'CBA Inputs'!N82)*M$14</f>
        <v>29160234.59627229</v>
      </c>
      <c r="N71" s="106">
        <f>('CBA Inputs'!O$81-'CBA Inputs'!O82)*N$14</f>
        <v>-4765507.7500377893</v>
      </c>
      <c r="O71" s="106">
        <f>('CBA Inputs'!P$81-'CBA Inputs'!P82)*O$14</f>
        <v>-4600328.3972203434</v>
      </c>
      <c r="P71" s="106">
        <f>('CBA Inputs'!Q$81-'CBA Inputs'!Q82)*P$14</f>
        <v>-4718042.294440642</v>
      </c>
      <c r="Q71" s="106">
        <f>('CBA Inputs'!R$81-'CBA Inputs'!R82)*Q$14</f>
        <v>-3242069.8524057269</v>
      </c>
      <c r="R71" s="106">
        <f>('CBA Inputs'!S$81-'CBA Inputs'!S82)*R$14</f>
        <v>19762455.598628879</v>
      </c>
      <c r="S71" s="106">
        <f>('CBA Inputs'!T$81-'CBA Inputs'!T82)*S$14</f>
        <v>-3888322.8374245763</v>
      </c>
      <c r="T71" s="106">
        <f>('CBA Inputs'!U$81-'CBA Inputs'!U82)*T$14</f>
        <v>-1.3110747021186253E-2</v>
      </c>
      <c r="U71" s="106">
        <f>('CBA Inputs'!V$81-'CBA Inputs'!V82)*U$14</f>
        <v>18813689.041842341</v>
      </c>
      <c r="V71" s="106">
        <f>('CBA Inputs'!W$81-'CBA Inputs'!W82)*V$14</f>
        <v>-18129956.75607793</v>
      </c>
      <c r="W71" s="106">
        <f>('CBA Inputs'!X$81-'CBA Inputs'!X82)*W$14</f>
        <v>-5145571.7113702297</v>
      </c>
      <c r="X71" s="106">
        <f>('CBA Inputs'!Y$81-'CBA Inputs'!Y82)*X$14</f>
        <v>-11636383.707045786</v>
      </c>
      <c r="Y71" s="106">
        <f>('CBA Inputs'!Z$81-'CBA Inputs'!Z82)*Y$14</f>
        <v>23713870.907090545</v>
      </c>
      <c r="Z71" s="106">
        <f>('CBA Inputs'!AA$81-'CBA Inputs'!AA82)*Z$14</f>
        <v>-3088381.4783471227</v>
      </c>
      <c r="AA71" s="106">
        <f>('CBA Inputs'!AB$81-'CBA Inputs'!AB82)*AA$14</f>
        <v>6571572.2942089438</v>
      </c>
      <c r="AB71" s="106">
        <f>('CBA Inputs'!AC$81-'CBA Inputs'!AC82)*AB$14</f>
        <v>-1.9741667415674131E-2</v>
      </c>
      <c r="AC71" s="106">
        <f>('CBA Inputs'!AD$81-'CBA Inputs'!AD82)*AC$14</f>
        <v>3793635.1968762875</v>
      </c>
      <c r="AD71" s="106">
        <f>('CBA Inputs'!AE$81-'CBA Inputs'!AE82)*AD$14</f>
        <v>21090.953536137938</v>
      </c>
      <c r="AE71" s="106">
        <f>('CBA Inputs'!AF$81-'CBA Inputs'!AF82)*AE$14</f>
        <v>0</v>
      </c>
      <c r="AF71" s="106">
        <f>('CBA Inputs'!AG$81-'CBA Inputs'!AG82)*AF$14</f>
        <v>0</v>
      </c>
      <c r="AG71" s="106">
        <f>('CBA Inputs'!AH$81-'CBA Inputs'!AH82)*AG$14</f>
        <v>0</v>
      </c>
      <c r="AH71" s="106">
        <f>('CBA Inputs'!AI$81-'CBA Inputs'!AI82)*AH$14</f>
        <v>0</v>
      </c>
    </row>
    <row r="72" spans="2:34" x14ac:dyDescent="0.25">
      <c r="B72" s="114" t="str">
        <f>'Option inputs'!$C$16</f>
        <v>Option 1B</v>
      </c>
      <c r="C72" s="163" t="s">
        <v>35</v>
      </c>
      <c r="D72" s="123">
        <f>NPV(DiscountRate_ACTIVE,E72:AH72)/(1+DiscountRate_ACTIVE)^(FirstYear-BaseYear-2)*'Option inputs'!$F$15</f>
        <v>36499951.910058014</v>
      </c>
      <c r="E72" s="106">
        <f>('CBA Inputs'!F$81-'CBA Inputs'!F83)*E$14</f>
        <v>0</v>
      </c>
      <c r="F72" s="106">
        <f>('CBA Inputs'!G$81-'CBA Inputs'!G83)*F$14</f>
        <v>-13.698994447507722</v>
      </c>
      <c r="G72" s="106">
        <f>('CBA Inputs'!H$81-'CBA Inputs'!H83)*G$14</f>
        <v>-1.0417219666213373</v>
      </c>
      <c r="H72" s="106">
        <f>('CBA Inputs'!I$81-'CBA Inputs'!I83)*H$14</f>
        <v>28643805.738477562</v>
      </c>
      <c r="I72" s="106">
        <f>('CBA Inputs'!J$81-'CBA Inputs'!J83)*I$14</f>
        <v>-71023.794291480517</v>
      </c>
      <c r="J72" s="106">
        <f>('CBA Inputs'!K$81-'CBA Inputs'!K83)*J$14</f>
        <v>-18561071.823138118</v>
      </c>
      <c r="K72" s="106">
        <f>('CBA Inputs'!L$81-'CBA Inputs'!L83)*K$14</f>
        <v>23782386.613422662</v>
      </c>
      <c r="L72" s="106">
        <f>('CBA Inputs'!M$81-'CBA Inputs'!M83)*L$14</f>
        <v>-0.46474513238825604</v>
      </c>
      <c r="M72" s="106">
        <f>('CBA Inputs'!N$81-'CBA Inputs'!N83)*M$14</f>
        <v>26672644.606279135</v>
      </c>
      <c r="N72" s="106">
        <f>('CBA Inputs'!O$81-'CBA Inputs'!O83)*N$14</f>
        <v>19272925.64578867</v>
      </c>
      <c r="O72" s="106">
        <f>('CBA Inputs'!P$81-'CBA Inputs'!P83)*O$14</f>
        <v>-46560613.59852156</v>
      </c>
      <c r="P72" s="106">
        <f>('CBA Inputs'!Q$81-'CBA Inputs'!Q83)*P$14</f>
        <v>1683356.2358010113</v>
      </c>
      <c r="Q72" s="106">
        <f>('CBA Inputs'!R$81-'CBA Inputs'!R83)*Q$14</f>
        <v>-1768698.6296050549</v>
      </c>
      <c r="R72" s="106">
        <f>('CBA Inputs'!S$81-'CBA Inputs'!S83)*R$14</f>
        <v>5775784.5775578916</v>
      </c>
      <c r="S72" s="106">
        <f>('CBA Inputs'!T$81-'CBA Inputs'!T83)*S$14</f>
        <v>1479693.3086217046</v>
      </c>
      <c r="T72" s="106">
        <f>('CBA Inputs'!U$81-'CBA Inputs'!U83)*T$14</f>
        <v>-0.44624296292047216</v>
      </c>
      <c r="U72" s="106">
        <f>('CBA Inputs'!V$81-'CBA Inputs'!V83)*U$14</f>
        <v>-6641541.5875929594</v>
      </c>
      <c r="V72" s="106">
        <f>('CBA Inputs'!W$81-'CBA Inputs'!W83)*V$14</f>
        <v>-602744.84393419325</v>
      </c>
      <c r="W72" s="106">
        <f>('CBA Inputs'!X$81-'CBA Inputs'!X83)*W$14</f>
        <v>-1114136.9933602959</v>
      </c>
      <c r="X72" s="106">
        <f>('CBA Inputs'!Y$81-'CBA Inputs'!Y83)*X$14</f>
        <v>-4296526.0188420191</v>
      </c>
      <c r="Y72" s="106">
        <f>('CBA Inputs'!Z$81-'CBA Inputs'!Z83)*Y$14</f>
        <v>8949670.1662868261</v>
      </c>
      <c r="Z72" s="106">
        <f>('CBA Inputs'!AA$81-'CBA Inputs'!AA83)*Z$14</f>
        <v>1007642.2393128276</v>
      </c>
      <c r="AA72" s="106">
        <f>('CBA Inputs'!AB$81-'CBA Inputs'!AB83)*AA$14</f>
        <v>14285493.156792223</v>
      </c>
      <c r="AB72" s="106">
        <f>('CBA Inputs'!AC$81-'CBA Inputs'!AC83)*AB$14</f>
        <v>-1.4384543949033692E-2</v>
      </c>
      <c r="AC72" s="106">
        <f>('CBA Inputs'!AD$81-'CBA Inputs'!AD83)*AC$14</f>
        <v>768138.04395210743</v>
      </c>
      <c r="AD72" s="106">
        <f>('CBA Inputs'!AE$81-'CBA Inputs'!AE83)*AD$14</f>
        <v>-3001214.9244059622</v>
      </c>
      <c r="AE72" s="106">
        <f>('CBA Inputs'!AF$81-'CBA Inputs'!AF83)*AE$14</f>
        <v>0</v>
      </c>
      <c r="AF72" s="106">
        <f>('CBA Inputs'!AG$81-'CBA Inputs'!AG83)*AF$14</f>
        <v>0</v>
      </c>
      <c r="AG72" s="106">
        <f>('CBA Inputs'!AH$81-'CBA Inputs'!AH83)*AG$14</f>
        <v>0</v>
      </c>
      <c r="AH72" s="106">
        <f>('CBA Inputs'!AI$81-'CBA Inputs'!AI83)*AH$14</f>
        <v>0</v>
      </c>
    </row>
    <row r="73" spans="2:34" x14ac:dyDescent="0.25">
      <c r="B73" s="114" t="str">
        <f>'Option inputs'!$C$17</f>
        <v>Option 1C</v>
      </c>
      <c r="C73" s="163" t="s">
        <v>35</v>
      </c>
      <c r="D73" s="123">
        <f>NPV(DiscountRate_ACTIVE,E73:AH73)/(1+DiscountRate_ACTIVE)^(FirstYear-BaseYear-2)*'Option inputs'!$F$15</f>
        <v>-10615401.149721107</v>
      </c>
      <c r="E73" s="106">
        <f>('CBA Inputs'!F$81-'CBA Inputs'!F84)*E$14</f>
        <v>0</v>
      </c>
      <c r="F73" s="106">
        <f>('CBA Inputs'!G$81-'CBA Inputs'!G84)*F$14</f>
        <v>2.8512780201561512</v>
      </c>
      <c r="G73" s="106">
        <f>('CBA Inputs'!H$81-'CBA Inputs'!H84)*G$14</f>
        <v>0.18121216791236872</v>
      </c>
      <c r="H73" s="106">
        <f>('CBA Inputs'!I$81-'CBA Inputs'!I84)*H$14</f>
        <v>-27974784.477020428</v>
      </c>
      <c r="I73" s="106">
        <f>('CBA Inputs'!J$81-'CBA Inputs'!J84)*I$14</f>
        <v>0.1011369863933711</v>
      </c>
      <c r="J73" s="106">
        <f>('CBA Inputs'!K$81-'CBA Inputs'!K84)*J$14</f>
        <v>7741067.1165140271</v>
      </c>
      <c r="K73" s="106">
        <f>('CBA Inputs'!L$81-'CBA Inputs'!L84)*K$14</f>
        <v>1213492.389560841</v>
      </c>
      <c r="L73" s="106">
        <f>('CBA Inputs'!M$81-'CBA Inputs'!M84)*L$14</f>
        <v>0.10556267546038639</v>
      </c>
      <c r="M73" s="106">
        <f>('CBA Inputs'!N$81-'CBA Inputs'!N84)*M$14</f>
        <v>13612265.590901941</v>
      </c>
      <c r="N73" s="106">
        <f>('CBA Inputs'!O$81-'CBA Inputs'!O84)*N$14</f>
        <v>-4543431.6911420822</v>
      </c>
      <c r="O73" s="106">
        <f>('CBA Inputs'!P$81-'CBA Inputs'!P84)*O$14</f>
        <v>-11199803.146757573</v>
      </c>
      <c r="P73" s="106">
        <f>('CBA Inputs'!Q$81-'CBA Inputs'!Q84)*P$14</f>
        <v>1996083.6139535308</v>
      </c>
      <c r="Q73" s="106">
        <f>('CBA Inputs'!R$81-'CBA Inputs'!R84)*Q$14</f>
        <v>-2757249.0713191628</v>
      </c>
      <c r="R73" s="106">
        <f>('CBA Inputs'!S$81-'CBA Inputs'!S84)*R$14</f>
        <v>8578919.2323607504</v>
      </c>
      <c r="S73" s="106">
        <f>('CBA Inputs'!T$81-'CBA Inputs'!T84)*S$14</f>
        <v>-3517677.8934280872</v>
      </c>
      <c r="T73" s="106">
        <f>('CBA Inputs'!U$81-'CBA Inputs'!U84)*T$14</f>
        <v>6.001471903497918E-2</v>
      </c>
      <c r="U73" s="106">
        <f>('CBA Inputs'!V$81-'CBA Inputs'!V84)*U$14</f>
        <v>17727811.799630761</v>
      </c>
      <c r="V73" s="106">
        <f>('CBA Inputs'!W$81-'CBA Inputs'!W84)*V$14</f>
        <v>-7678836.5969075561</v>
      </c>
      <c r="W73" s="106">
        <f>('CBA Inputs'!X$81-'CBA Inputs'!X84)*W$14</f>
        <v>-3301630.1720563918</v>
      </c>
      <c r="X73" s="106">
        <f>('CBA Inputs'!Y$81-'CBA Inputs'!Y84)*X$14</f>
        <v>3593099.9304300398</v>
      </c>
      <c r="Y73" s="106">
        <f>('CBA Inputs'!Z$81-'CBA Inputs'!Z84)*Y$14</f>
        <v>5491007.9533530474</v>
      </c>
      <c r="Z73" s="106">
        <f>('CBA Inputs'!AA$81-'CBA Inputs'!AA84)*Z$14</f>
        <v>698270.4217800498</v>
      </c>
      <c r="AA73" s="106">
        <f>('CBA Inputs'!AB$81-'CBA Inputs'!AB84)*AA$14</f>
        <v>-6926461.0574361086</v>
      </c>
      <c r="AB73" s="106">
        <f>('CBA Inputs'!AC$81-'CBA Inputs'!AC84)*AB$14</f>
        <v>0</v>
      </c>
      <c r="AC73" s="106">
        <f>('CBA Inputs'!AD$81-'CBA Inputs'!AD84)*AC$14</f>
        <v>3367519.9105447531</v>
      </c>
      <c r="AD73" s="106">
        <f>('CBA Inputs'!AE$81-'CBA Inputs'!AE84)*AD$14</f>
        <v>188089.39807012677</v>
      </c>
      <c r="AE73" s="106">
        <f>('CBA Inputs'!AF$81-'CBA Inputs'!AF84)*AE$14</f>
        <v>0</v>
      </c>
      <c r="AF73" s="106">
        <f>('CBA Inputs'!AG$81-'CBA Inputs'!AG84)*AF$14</f>
        <v>0</v>
      </c>
      <c r="AG73" s="106">
        <f>('CBA Inputs'!AH$81-'CBA Inputs'!AH84)*AG$14</f>
        <v>0</v>
      </c>
      <c r="AH73" s="106">
        <f>('CBA Inputs'!AI$81-'CBA Inputs'!AI84)*AH$14</f>
        <v>0</v>
      </c>
    </row>
    <row r="74" spans="2:34" x14ac:dyDescent="0.25">
      <c r="B74" s="114" t="str">
        <f>'Option inputs'!$C$18</f>
        <v>Option 1D</v>
      </c>
      <c r="C74" s="163" t="s">
        <v>35</v>
      </c>
      <c r="D74" s="123">
        <f>NPV(DiscountRate_ACTIVE,E74:AH74)/(1+DiscountRate_ACTIVE)^(FirstYear-BaseYear-2)*'Option inputs'!$F$15</f>
        <v>-6306551.6117596216</v>
      </c>
      <c r="E74" s="106">
        <f>('CBA Inputs'!F$81-'CBA Inputs'!F85)*E$14</f>
        <v>0</v>
      </c>
      <c r="F74" s="106">
        <f>('CBA Inputs'!G$81-'CBA Inputs'!G85)*F$14</f>
        <v>-14.573530076797717</v>
      </c>
      <c r="G74" s="106">
        <f>('CBA Inputs'!H$81-'CBA Inputs'!H85)*G$14</f>
        <v>-1.1124638730616712</v>
      </c>
      <c r="H74" s="106">
        <f>('CBA Inputs'!I$81-'CBA Inputs'!I85)*H$14</f>
        <v>-22448224.292632051</v>
      </c>
      <c r="I74" s="106">
        <f>('CBA Inputs'!J$81-'CBA Inputs'!J85)*I$14</f>
        <v>-1286659.4914019108</v>
      </c>
      <c r="J74" s="106">
        <f>('CBA Inputs'!K$81-'CBA Inputs'!K85)*J$14</f>
        <v>12704791.584164798</v>
      </c>
      <c r="K74" s="106">
        <f>('CBA Inputs'!L$81-'CBA Inputs'!L85)*K$14</f>
        <v>-710954.09748278558</v>
      </c>
      <c r="L74" s="106">
        <f>('CBA Inputs'!M$81-'CBA Inputs'!M85)*L$14</f>
        <v>-0.57077954904669448</v>
      </c>
      <c r="M74" s="106">
        <f>('CBA Inputs'!N$81-'CBA Inputs'!N85)*M$14</f>
        <v>8660026.6758292913</v>
      </c>
      <c r="N74" s="106">
        <f>('CBA Inputs'!O$81-'CBA Inputs'!O85)*N$14</f>
        <v>-2427970.3356456161</v>
      </c>
      <c r="O74" s="106">
        <f>('CBA Inputs'!P$81-'CBA Inputs'!P85)*O$14</f>
        <v>-7851817.9047363997</v>
      </c>
      <c r="P74" s="106">
        <f>('CBA Inputs'!Q$81-'CBA Inputs'!Q85)*P$14</f>
        <v>489651.05199666321</v>
      </c>
      <c r="Q74" s="106">
        <f>('CBA Inputs'!R$81-'CBA Inputs'!R85)*Q$14</f>
        <v>-468523.6610866189</v>
      </c>
      <c r="R74" s="106">
        <f>('CBA Inputs'!S$81-'CBA Inputs'!S85)*R$14</f>
        <v>7469931.7952981889</v>
      </c>
      <c r="S74" s="106">
        <f>('CBA Inputs'!T$81-'CBA Inputs'!T85)*S$14</f>
        <v>481437.8657591939</v>
      </c>
      <c r="T74" s="106">
        <f>('CBA Inputs'!U$81-'CBA Inputs'!U85)*T$14</f>
        <v>-0.58168776889748997</v>
      </c>
      <c r="U74" s="106">
        <f>('CBA Inputs'!V$81-'CBA Inputs'!V85)*U$14</f>
        <v>9182846.6157535315</v>
      </c>
      <c r="V74" s="106">
        <f>('CBA Inputs'!W$81-'CBA Inputs'!W85)*V$14</f>
        <v>-5713985.9322352111</v>
      </c>
      <c r="W74" s="106">
        <f>('CBA Inputs'!X$81-'CBA Inputs'!X85)*W$14</f>
        <v>-3766925.8405174464</v>
      </c>
      <c r="X74" s="106">
        <f>('CBA Inputs'!Y$81-'CBA Inputs'!Y85)*X$14</f>
        <v>4624355.8284371011</v>
      </c>
      <c r="Y74" s="106">
        <f>('CBA Inputs'!Z$81-'CBA Inputs'!Z85)*Y$14</f>
        <v>-2131158.4809099436</v>
      </c>
      <c r="Z74" s="106">
        <f>('CBA Inputs'!AA$81-'CBA Inputs'!AA85)*Z$14</f>
        <v>2829873.6825460196</v>
      </c>
      <c r="AA74" s="106">
        <f>('CBA Inputs'!AB$81-'CBA Inputs'!AB85)*AA$14</f>
        <v>-3361243.0490013361</v>
      </c>
      <c r="AB74" s="106">
        <f>('CBA Inputs'!AC$81-'CBA Inputs'!AC85)*AB$14</f>
        <v>-5.414106163192843E-2</v>
      </c>
      <c r="AC74" s="106">
        <f>('CBA Inputs'!AD$81-'CBA Inputs'!AD85)*AC$14</f>
        <v>1512029.8392219543</v>
      </c>
      <c r="AD74" s="106">
        <f>('CBA Inputs'!AE$81-'CBA Inputs'!AE85)*AD$14</f>
        <v>923118.05101236701</v>
      </c>
      <c r="AE74" s="106">
        <f>('CBA Inputs'!AF$81-'CBA Inputs'!AF85)*AE$14</f>
        <v>0</v>
      </c>
      <c r="AF74" s="106">
        <f>('CBA Inputs'!AG$81-'CBA Inputs'!AG85)*AF$14</f>
        <v>0</v>
      </c>
      <c r="AG74" s="106">
        <f>('CBA Inputs'!AH$81-'CBA Inputs'!AH85)*AG$14</f>
        <v>0</v>
      </c>
      <c r="AH74" s="106">
        <f>('CBA Inputs'!AI$81-'CBA Inputs'!AI85)*AH$14</f>
        <v>0</v>
      </c>
    </row>
    <row r="75" spans="2:34" x14ac:dyDescent="0.25">
      <c r="B75" s="114"/>
      <c r="C75" s="114"/>
      <c r="D75" s="123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</row>
    <row r="76" spans="2:34" ht="13" x14ac:dyDescent="0.3">
      <c r="B76" s="122" t="str">
        <f>B45</f>
        <v xml:space="preserve">Fuel consumption from generation dispatch </v>
      </c>
      <c r="C76" s="122"/>
      <c r="D76" s="123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</row>
    <row r="77" spans="2:34" x14ac:dyDescent="0.25">
      <c r="B77" s="114" t="str">
        <f>'Option inputs'!$C$15</f>
        <v>Option 1A</v>
      </c>
      <c r="C77" s="163" t="s">
        <v>35</v>
      </c>
      <c r="D77" s="123">
        <f>NPV(DiscountRate_ACTIVE,E77:AH77)/(1+DiscountRate_ACTIVE)^(FirstYear-BaseYear-2)*'Option inputs'!$F$15</f>
        <v>71277159.292602763</v>
      </c>
      <c r="E77" s="106">
        <f>('CBA Inputs'!F$111-'CBA Inputs'!F112)*E$14</f>
        <v>0</v>
      </c>
      <c r="F77" s="106">
        <f>('CBA Inputs'!G$111-'CBA Inputs'!G112)*F$14</f>
        <v>-216.97541189193726</v>
      </c>
      <c r="G77" s="106">
        <f>('CBA Inputs'!H$111-'CBA Inputs'!H112)*G$14</f>
        <v>-89108.513624191284</v>
      </c>
      <c r="H77" s="106">
        <f>('CBA Inputs'!I$111-'CBA Inputs'!I112)*H$14</f>
        <v>766400.7291469574</v>
      </c>
      <c r="I77" s="106">
        <f>('CBA Inputs'!J$111-'CBA Inputs'!J112)*I$14</f>
        <v>2202247.7943053246</v>
      </c>
      <c r="J77" s="106">
        <f>('CBA Inputs'!K$111-'CBA Inputs'!K112)*J$14</f>
        <v>846049.97324228287</v>
      </c>
      <c r="K77" s="106">
        <f>('CBA Inputs'!L$111-'CBA Inputs'!L112)*K$14</f>
        <v>-241166.38786268234</v>
      </c>
      <c r="L77" s="106">
        <f>('CBA Inputs'!M$111-'CBA Inputs'!M112)*L$14</f>
        <v>398310.42044639587</v>
      </c>
      <c r="M77" s="106">
        <f>('CBA Inputs'!N$111-'CBA Inputs'!N112)*M$14</f>
        <v>2466050.6807131767</v>
      </c>
      <c r="N77" s="106">
        <f>('CBA Inputs'!O$111-'CBA Inputs'!O112)*N$14</f>
        <v>3114533.6678988934</v>
      </c>
      <c r="O77" s="106">
        <f>('CBA Inputs'!P$111-'CBA Inputs'!P112)*O$14</f>
        <v>1364730.3166196346</v>
      </c>
      <c r="P77" s="106">
        <f>('CBA Inputs'!Q$111-'CBA Inputs'!Q112)*P$14</f>
        <v>3382471.7379777431</v>
      </c>
      <c r="Q77" s="106">
        <f>('CBA Inputs'!R$111-'CBA Inputs'!R112)*Q$14</f>
        <v>8906343.4637718201</v>
      </c>
      <c r="R77" s="106">
        <f>('CBA Inputs'!S$111-'CBA Inputs'!S112)*R$14</f>
        <v>9085491.857060194</v>
      </c>
      <c r="S77" s="106">
        <f>('CBA Inputs'!T$111-'CBA Inputs'!T112)*S$14</f>
        <v>15633288.045065403</v>
      </c>
      <c r="T77" s="106">
        <f>('CBA Inputs'!U$111-'CBA Inputs'!U112)*T$14</f>
        <v>-3320579.2870967388</v>
      </c>
      <c r="U77" s="106">
        <f>('CBA Inputs'!V$111-'CBA Inputs'!V112)*U$14</f>
        <v>6289345.8797898293</v>
      </c>
      <c r="V77" s="106">
        <f>('CBA Inputs'!W$111-'CBA Inputs'!W112)*V$14</f>
        <v>2047622.295113802</v>
      </c>
      <c r="W77" s="106">
        <f>('CBA Inputs'!X$111-'CBA Inputs'!X112)*W$14</f>
        <v>9492134.9318013191</v>
      </c>
      <c r="X77" s="106">
        <f>('CBA Inputs'!Y$111-'CBA Inputs'!Y112)*X$14</f>
        <v>7043800.7631456852</v>
      </c>
      <c r="Y77" s="106">
        <f>('CBA Inputs'!Z$111-'CBA Inputs'!Z112)*Y$14</f>
        <v>17509036.166372776</v>
      </c>
      <c r="Z77" s="106">
        <f>('CBA Inputs'!AA$111-'CBA Inputs'!AA112)*Z$14</f>
        <v>14670758.427850246</v>
      </c>
      <c r="AA77" s="106">
        <f>('CBA Inputs'!AB$111-'CBA Inputs'!AB112)*AA$14</f>
        <v>21795397.785376072</v>
      </c>
      <c r="AB77" s="106">
        <f>('CBA Inputs'!AC$111-'CBA Inputs'!AC112)*AB$14</f>
        <v>20975986.81409049</v>
      </c>
      <c r="AC77" s="106">
        <f>('CBA Inputs'!AD$111-'CBA Inputs'!AD112)*AC$14</f>
        <v>29462674.580341339</v>
      </c>
      <c r="AD77" s="106">
        <f>('CBA Inputs'!AE$111-'CBA Inputs'!AE112)*AD$14</f>
        <v>23666269.114928484</v>
      </c>
      <c r="AE77" s="106">
        <f>('CBA Inputs'!AF$111-'CBA Inputs'!AF112)*AE$14</f>
        <v>0</v>
      </c>
      <c r="AF77" s="106">
        <f>('CBA Inputs'!AG$111-'CBA Inputs'!AG112)*AF$14</f>
        <v>0</v>
      </c>
      <c r="AG77" s="106">
        <f>('CBA Inputs'!AH$111-'CBA Inputs'!AH112)*AG$14</f>
        <v>0</v>
      </c>
      <c r="AH77" s="106">
        <f>('CBA Inputs'!AI$111-'CBA Inputs'!AI112)*AH$14</f>
        <v>0</v>
      </c>
    </row>
    <row r="78" spans="2:34" x14ac:dyDescent="0.25">
      <c r="B78" s="114" t="str">
        <f>'Option inputs'!$C$16</f>
        <v>Option 1B</v>
      </c>
      <c r="C78" s="163" t="s">
        <v>35</v>
      </c>
      <c r="D78" s="123">
        <f>NPV(DiscountRate_ACTIVE,E78:AH78)/(1+DiscountRate_ACTIVE)^(FirstYear-BaseYear-2)*'Option inputs'!$F$15</f>
        <v>55378619.789670087</v>
      </c>
      <c r="E78" s="106">
        <f>('CBA Inputs'!F$111-'CBA Inputs'!F113)*E$14</f>
        <v>0</v>
      </c>
      <c r="F78" s="106">
        <f>('CBA Inputs'!G$111-'CBA Inputs'!G113)*F$14</f>
        <v>-40.680674076080322</v>
      </c>
      <c r="G78" s="106">
        <f>('CBA Inputs'!H$111-'CBA Inputs'!H113)*G$14</f>
        <v>-17478.712306499481</v>
      </c>
      <c r="H78" s="106">
        <f>('CBA Inputs'!I$111-'CBA Inputs'!I113)*H$14</f>
        <v>-1945820.8874459267</v>
      </c>
      <c r="I78" s="106">
        <f>('CBA Inputs'!J$111-'CBA Inputs'!J113)*I$14</f>
        <v>-1111816.1080942154</v>
      </c>
      <c r="J78" s="106">
        <f>('CBA Inputs'!K$111-'CBA Inputs'!K113)*J$14</f>
        <v>1133984.9362044334</v>
      </c>
      <c r="K78" s="106">
        <f>('CBA Inputs'!L$111-'CBA Inputs'!L113)*K$14</f>
        <v>434657.98881387711</v>
      </c>
      <c r="L78" s="106">
        <f>('CBA Inputs'!M$111-'CBA Inputs'!M113)*L$14</f>
        <v>337222.0684337616</v>
      </c>
      <c r="M78" s="106">
        <f>('CBA Inputs'!N$111-'CBA Inputs'!N113)*M$14</f>
        <v>2228893.4973244667</v>
      </c>
      <c r="N78" s="106">
        <f>('CBA Inputs'!O$111-'CBA Inputs'!O113)*N$14</f>
        <v>826928.40123915672</v>
      </c>
      <c r="O78" s="106">
        <f>('CBA Inputs'!P$111-'CBA Inputs'!P113)*O$14</f>
        <v>-49490.827247142792</v>
      </c>
      <c r="P78" s="106">
        <f>('CBA Inputs'!Q$111-'CBA Inputs'!Q113)*P$14</f>
        <v>2011785.4667360783</v>
      </c>
      <c r="Q78" s="106">
        <f>('CBA Inputs'!R$111-'CBA Inputs'!R113)*Q$14</f>
        <v>7351133.2476768494</v>
      </c>
      <c r="R78" s="106">
        <f>('CBA Inputs'!S$111-'CBA Inputs'!S113)*R$14</f>
        <v>9463154.8382968903</v>
      </c>
      <c r="S78" s="106">
        <f>('CBA Inputs'!T$111-'CBA Inputs'!T113)*S$14</f>
        <v>5451871.5277709961</v>
      </c>
      <c r="T78" s="106">
        <f>('CBA Inputs'!U$111-'CBA Inputs'!U113)*T$14</f>
        <v>1913561.8398749828</v>
      </c>
      <c r="U78" s="106">
        <f>('CBA Inputs'!V$111-'CBA Inputs'!V113)*U$14</f>
        <v>7945020.7729742527</v>
      </c>
      <c r="V78" s="106">
        <f>('CBA Inputs'!W$111-'CBA Inputs'!W113)*V$14</f>
        <v>5977456.4919285774</v>
      </c>
      <c r="W78" s="106">
        <f>('CBA Inputs'!X$111-'CBA Inputs'!X113)*W$14</f>
        <v>7663704.5009040833</v>
      </c>
      <c r="X78" s="106">
        <f>('CBA Inputs'!Y$111-'CBA Inputs'!Y113)*X$14</f>
        <v>4572030.8618597984</v>
      </c>
      <c r="Y78" s="106">
        <f>('CBA Inputs'!Z$111-'CBA Inputs'!Z113)*Y$14</f>
        <v>11749707.837218285</v>
      </c>
      <c r="Z78" s="106">
        <f>('CBA Inputs'!AA$111-'CBA Inputs'!AA113)*Z$14</f>
        <v>16336158.319592237</v>
      </c>
      <c r="AA78" s="106">
        <f>('CBA Inputs'!AB$111-'CBA Inputs'!AB113)*AA$14</f>
        <v>12770153.253700018</v>
      </c>
      <c r="AB78" s="106">
        <f>('CBA Inputs'!AC$111-'CBA Inputs'!AC113)*AB$14</f>
        <v>19028170.473134756</v>
      </c>
      <c r="AC78" s="106">
        <f>('CBA Inputs'!AD$111-'CBA Inputs'!AD113)*AC$14</f>
        <v>28208731.204432249</v>
      </c>
      <c r="AD78" s="106">
        <f>('CBA Inputs'!AE$111-'CBA Inputs'!AE113)*AD$14</f>
        <v>20497656.215709686</v>
      </c>
      <c r="AE78" s="106">
        <f>('CBA Inputs'!AF$111-'CBA Inputs'!AF113)*AE$14</f>
        <v>0</v>
      </c>
      <c r="AF78" s="106">
        <f>('CBA Inputs'!AG$111-'CBA Inputs'!AG113)*AF$14</f>
        <v>0</v>
      </c>
      <c r="AG78" s="106">
        <f>('CBA Inputs'!AH$111-'CBA Inputs'!AH113)*AG$14</f>
        <v>0</v>
      </c>
      <c r="AH78" s="106">
        <f>('CBA Inputs'!AI$111-'CBA Inputs'!AI113)*AH$14</f>
        <v>0</v>
      </c>
    </row>
    <row r="79" spans="2:34" x14ac:dyDescent="0.25">
      <c r="B79" s="114" t="str">
        <f>'Option inputs'!$C$17</f>
        <v>Option 1C</v>
      </c>
      <c r="C79" s="163" t="s">
        <v>35</v>
      </c>
      <c r="D79" s="123">
        <f>NPV(DiscountRate_ACTIVE,E79:AH79)/(1+DiscountRate_ACTIVE)^(FirstYear-BaseYear-2)*'Option inputs'!$F$15</f>
        <v>17759977.232122559</v>
      </c>
      <c r="E79" s="106">
        <f>('CBA Inputs'!F$111-'CBA Inputs'!F114)*E$14</f>
        <v>0</v>
      </c>
      <c r="F79" s="106">
        <f>('CBA Inputs'!G$111-'CBA Inputs'!G114)*F$14</f>
        <v>-1.602485179901123</v>
      </c>
      <c r="G79" s="106">
        <f>('CBA Inputs'!H$111-'CBA Inputs'!H114)*G$14</f>
        <v>18383.337563514709</v>
      </c>
      <c r="H79" s="106">
        <f>('CBA Inputs'!I$111-'CBA Inputs'!I114)*H$14</f>
        <v>7515456.4698801041</v>
      </c>
      <c r="I79" s="106">
        <f>('CBA Inputs'!J$111-'CBA Inputs'!J114)*I$14</f>
        <v>8221826.3440284729</v>
      </c>
      <c r="J79" s="106">
        <f>('CBA Inputs'!K$111-'CBA Inputs'!K114)*J$14</f>
        <v>-45530.769161701202</v>
      </c>
      <c r="K79" s="106">
        <f>('CBA Inputs'!L$111-'CBA Inputs'!L114)*K$14</f>
        <v>-877864.43989229202</v>
      </c>
      <c r="L79" s="106">
        <f>('CBA Inputs'!M$111-'CBA Inputs'!M114)*L$14</f>
        <v>-594924.45486545563</v>
      </c>
      <c r="M79" s="106">
        <f>('CBA Inputs'!N$111-'CBA Inputs'!N114)*M$14</f>
        <v>-716760.65523099899</v>
      </c>
      <c r="N79" s="106">
        <f>('CBA Inputs'!O$111-'CBA Inputs'!O114)*N$14</f>
        <v>-242251.18516397476</v>
      </c>
      <c r="O79" s="106">
        <f>('CBA Inputs'!P$111-'CBA Inputs'!P114)*O$14</f>
        <v>2121229.4118909836</v>
      </c>
      <c r="P79" s="106">
        <f>('CBA Inputs'!Q$111-'CBA Inputs'!Q114)*P$14</f>
        <v>1252324.1541163921</v>
      </c>
      <c r="Q79" s="106">
        <f>('CBA Inputs'!R$111-'CBA Inputs'!R114)*Q$14</f>
        <v>2606189.2809586525</v>
      </c>
      <c r="R79" s="106">
        <f>('CBA Inputs'!S$111-'CBA Inputs'!S114)*R$14</f>
        <v>1056354.5191078186</v>
      </c>
      <c r="S79" s="106">
        <f>('CBA Inputs'!T$111-'CBA Inputs'!T114)*S$14</f>
        <v>8314564.7973227501</v>
      </c>
      <c r="T79" s="106">
        <f>('CBA Inputs'!U$111-'CBA Inputs'!U114)*T$14</f>
        <v>-5542355.435618639</v>
      </c>
      <c r="U79" s="106">
        <f>('CBA Inputs'!V$111-'CBA Inputs'!V114)*U$14</f>
        <v>-794420.20962071419</v>
      </c>
      <c r="V79" s="106">
        <f>('CBA Inputs'!W$111-'CBA Inputs'!W114)*V$14</f>
        <v>-4213645.1670591831</v>
      </c>
      <c r="W79" s="106">
        <f>('CBA Inputs'!X$111-'CBA Inputs'!X114)*W$14</f>
        <v>772244.87854361534</v>
      </c>
      <c r="X79" s="106">
        <f>('CBA Inputs'!Y$111-'CBA Inputs'!Y114)*X$14</f>
        <v>-39977.778381347656</v>
      </c>
      <c r="Y79" s="106">
        <f>('CBA Inputs'!Z$111-'CBA Inputs'!Z114)*Y$14</f>
        <v>5607115.1091008186</v>
      </c>
      <c r="Z79" s="106">
        <f>('CBA Inputs'!AA$111-'CBA Inputs'!AA114)*Z$14</f>
        <v>-1568833.5096347332</v>
      </c>
      <c r="AA79" s="106">
        <f>('CBA Inputs'!AB$111-'CBA Inputs'!AB114)*AA$14</f>
        <v>2931582.5431950092</v>
      </c>
      <c r="AB79" s="106">
        <f>('CBA Inputs'!AC$111-'CBA Inputs'!AC114)*AB$14</f>
        <v>1825920.3488411903</v>
      </c>
      <c r="AC79" s="106">
        <f>('CBA Inputs'!AD$111-'CBA Inputs'!AD114)*AC$14</f>
        <v>-2210881.9810070992</v>
      </c>
      <c r="AD79" s="106">
        <f>('CBA Inputs'!AE$111-'CBA Inputs'!AE114)*AD$14</f>
        <v>257678.62501358986</v>
      </c>
      <c r="AE79" s="106">
        <f>('CBA Inputs'!AF$111-'CBA Inputs'!AF114)*AE$14</f>
        <v>0</v>
      </c>
      <c r="AF79" s="106">
        <f>('CBA Inputs'!AG$111-'CBA Inputs'!AG114)*AF$14</f>
        <v>0</v>
      </c>
      <c r="AG79" s="106">
        <f>('CBA Inputs'!AH$111-'CBA Inputs'!AH114)*AG$14</f>
        <v>0</v>
      </c>
      <c r="AH79" s="106">
        <f>('CBA Inputs'!AI$111-'CBA Inputs'!AI114)*AH$14</f>
        <v>0</v>
      </c>
    </row>
    <row r="80" spans="2:34" x14ac:dyDescent="0.25">
      <c r="B80" s="114" t="str">
        <f>'Option inputs'!$C$18</f>
        <v>Option 1D</v>
      </c>
      <c r="C80" s="163" t="s">
        <v>35</v>
      </c>
      <c r="D80" s="123">
        <f>NPV(DiscountRate_ACTIVE,E80:AH80)/(1+DiscountRate_ACTIVE)^(FirstYear-BaseYear-2)*'Option inputs'!$F$15</f>
        <v>14910495.221369322</v>
      </c>
      <c r="E80" s="106">
        <f>('CBA Inputs'!F$111-'CBA Inputs'!F115)*E$14</f>
        <v>0</v>
      </c>
      <c r="F80" s="106">
        <f>('CBA Inputs'!G$111-'CBA Inputs'!G115)*F$14</f>
        <v>-51.484738826751709</v>
      </c>
      <c r="G80" s="106">
        <f>('CBA Inputs'!H$111-'CBA Inputs'!H115)*G$14</f>
        <v>11181.057181358337</v>
      </c>
      <c r="H80" s="106">
        <f>('CBA Inputs'!I$111-'CBA Inputs'!I115)*H$14</f>
        <v>5842473.3790473938</v>
      </c>
      <c r="I80" s="106">
        <f>('CBA Inputs'!J$111-'CBA Inputs'!J115)*I$14</f>
        <v>6723967.0605659485</v>
      </c>
      <c r="J80" s="106">
        <f>('CBA Inputs'!K$111-'CBA Inputs'!K115)*J$14</f>
        <v>-702009.74016046524</v>
      </c>
      <c r="K80" s="106">
        <f>('CBA Inputs'!L$111-'CBA Inputs'!L115)*K$14</f>
        <v>-696541.94192504883</v>
      </c>
      <c r="L80" s="106">
        <f>('CBA Inputs'!M$111-'CBA Inputs'!M115)*L$14</f>
        <v>-661320.17378568649</v>
      </c>
      <c r="M80" s="106">
        <f>('CBA Inputs'!N$111-'CBA Inputs'!N115)*M$14</f>
        <v>-712602.69044446945</v>
      </c>
      <c r="N80" s="106">
        <f>('CBA Inputs'!O$111-'CBA Inputs'!O115)*N$14</f>
        <v>-244832.80043029785</v>
      </c>
      <c r="O80" s="106">
        <f>('CBA Inputs'!P$111-'CBA Inputs'!P115)*O$14</f>
        <v>1522794.4662823677</v>
      </c>
      <c r="P80" s="106">
        <f>('CBA Inputs'!Q$111-'CBA Inputs'!Q115)*P$14</f>
        <v>857550.67297530174</v>
      </c>
      <c r="Q80" s="106">
        <f>('CBA Inputs'!R$111-'CBA Inputs'!R115)*Q$14</f>
        <v>3190311.9544997215</v>
      </c>
      <c r="R80" s="106">
        <f>('CBA Inputs'!S$111-'CBA Inputs'!S115)*R$14</f>
        <v>457209.30594348907</v>
      </c>
      <c r="S80" s="106">
        <f>('CBA Inputs'!T$111-'CBA Inputs'!T115)*S$14</f>
        <v>3802014.2850348949</v>
      </c>
      <c r="T80" s="106">
        <f>('CBA Inputs'!U$111-'CBA Inputs'!U115)*T$14</f>
        <v>337307.76272583008</v>
      </c>
      <c r="U80" s="106">
        <f>('CBA Inputs'!V$111-'CBA Inputs'!V115)*U$14</f>
        <v>626494.57235002518</v>
      </c>
      <c r="V80" s="106">
        <f>('CBA Inputs'!W$111-'CBA Inputs'!W115)*V$14</f>
        <v>-1735114.6298835278</v>
      </c>
      <c r="W80" s="106">
        <f>('CBA Inputs'!X$111-'CBA Inputs'!X115)*W$14</f>
        <v>883905.28745794296</v>
      </c>
      <c r="X80" s="106">
        <f>('CBA Inputs'!Y$111-'CBA Inputs'!Y115)*X$14</f>
        <v>-986510.03688597679</v>
      </c>
      <c r="Y80" s="106">
        <f>('CBA Inputs'!Z$111-'CBA Inputs'!Z115)*Y$14</f>
        <v>2115445.8280265331</v>
      </c>
      <c r="Z80" s="106">
        <f>('CBA Inputs'!AA$111-'CBA Inputs'!AA115)*Z$14</f>
        <v>-371293.5107486248</v>
      </c>
      <c r="AA80" s="106">
        <f>('CBA Inputs'!AB$111-'CBA Inputs'!AB115)*AA$14</f>
        <v>2125911.7841639519</v>
      </c>
      <c r="AB80" s="106">
        <f>('CBA Inputs'!AC$111-'CBA Inputs'!AC115)*AB$14</f>
        <v>803787.20344042778</v>
      </c>
      <c r="AC80" s="106">
        <f>('CBA Inputs'!AD$111-'CBA Inputs'!AD115)*AC$14</f>
        <v>-824685.26669597626</v>
      </c>
      <c r="AD80" s="106">
        <f>('CBA Inputs'!AE$111-'CBA Inputs'!AE115)*AD$14</f>
        <v>561852.49251246452</v>
      </c>
      <c r="AE80" s="106">
        <f>('CBA Inputs'!AF$111-'CBA Inputs'!AF115)*AE$14</f>
        <v>0</v>
      </c>
      <c r="AF80" s="106">
        <f>('CBA Inputs'!AG$111-'CBA Inputs'!AG115)*AF$14</f>
        <v>0</v>
      </c>
      <c r="AG80" s="106">
        <f>('CBA Inputs'!AH$111-'CBA Inputs'!AH115)*AG$14</f>
        <v>0</v>
      </c>
      <c r="AH80" s="106">
        <f>('CBA Inputs'!AI$111-'CBA Inputs'!AI115)*AH$14</f>
        <v>0</v>
      </c>
    </row>
    <row r="81" spans="2:34" x14ac:dyDescent="0.25">
      <c r="B81" s="114"/>
      <c r="C81" s="114"/>
      <c r="D81" s="123"/>
      <c r="E81" s="106"/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</row>
    <row r="82" spans="2:34" ht="13" x14ac:dyDescent="0.3">
      <c r="B82" s="122" t="str">
        <f>B51</f>
        <v xml:space="preserve">Voluntary load curtailment </v>
      </c>
      <c r="C82" s="122"/>
      <c r="D82" s="123"/>
      <c r="E82" s="106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</row>
    <row r="83" spans="2:34" x14ac:dyDescent="0.25">
      <c r="B83" s="114" t="str">
        <f>'Option inputs'!$C$15</f>
        <v>Option 1A</v>
      </c>
      <c r="C83" s="163" t="s">
        <v>35</v>
      </c>
      <c r="D83" s="123">
        <f>NPV(DiscountRate_ACTIVE,E83:AH83)/(1+DiscountRate_ACTIVE)^(FirstYear-BaseYear-2)*'Option inputs'!$F$15</f>
        <v>32177867.027494472</v>
      </c>
      <c r="E83" s="106">
        <f>('CBA Inputs'!F$141-'CBA Inputs'!F142)*E$14</f>
        <v>0</v>
      </c>
      <c r="F83" s="106">
        <f>('CBA Inputs'!G$141-'CBA Inputs'!G142)*F$14</f>
        <v>0.12419850379956188</v>
      </c>
      <c r="G83" s="106">
        <f>('CBA Inputs'!H$141-'CBA Inputs'!H142)*G$14</f>
        <v>0.12696335947839543</v>
      </c>
      <c r="H83" s="106">
        <f>('CBA Inputs'!I$141-'CBA Inputs'!I142)*H$14</f>
        <v>326759.26590282237</v>
      </c>
      <c r="I83" s="106">
        <f>('CBA Inputs'!J$141-'CBA Inputs'!J142)*I$14</f>
        <v>-347400.69146936759</v>
      </c>
      <c r="J83" s="106">
        <f>('CBA Inputs'!K$141-'CBA Inputs'!K142)*J$14</f>
        <v>-87413.875962456688</v>
      </c>
      <c r="K83" s="106">
        <f>('CBA Inputs'!L$141-'CBA Inputs'!L142)*K$14</f>
        <v>0.17382069534362898</v>
      </c>
      <c r="L83" s="106">
        <f>('CBA Inputs'!M$141-'CBA Inputs'!M142)*L$14</f>
        <v>0.18133479068409475</v>
      </c>
      <c r="M83" s="106">
        <f>('CBA Inputs'!N$141-'CBA Inputs'!N142)*M$14</f>
        <v>0.20202793209941738</v>
      </c>
      <c r="N83" s="106">
        <f>('CBA Inputs'!O$141-'CBA Inputs'!O142)*N$14</f>
        <v>-54288.33983984217</v>
      </c>
      <c r="O83" s="106">
        <f>('CBA Inputs'!P$141-'CBA Inputs'!P142)*O$14</f>
        <v>-13709.115908223204</v>
      </c>
      <c r="P83" s="106">
        <f>('CBA Inputs'!Q$141-'CBA Inputs'!Q142)*P$14</f>
        <v>15611.959847653285</v>
      </c>
      <c r="Q83" s="106">
        <f>('CBA Inputs'!R$141-'CBA Inputs'!R142)*Q$14</f>
        <v>36622.883831057698</v>
      </c>
      <c r="R83" s="106">
        <f>('CBA Inputs'!S$141-'CBA Inputs'!S142)*R$14</f>
        <v>-125948.41979439976</v>
      </c>
      <c r="S83" s="106">
        <f>('CBA Inputs'!T$141-'CBA Inputs'!T142)*S$14</f>
        <v>1029955.5112042353</v>
      </c>
      <c r="T83" s="106">
        <f>('CBA Inputs'!U$141-'CBA Inputs'!U142)*T$14</f>
        <v>1788107.6384835942</v>
      </c>
      <c r="U83" s="106">
        <f>('CBA Inputs'!V$141-'CBA Inputs'!V142)*U$14</f>
        <v>5191955.2423696276</v>
      </c>
      <c r="V83" s="106">
        <f>('CBA Inputs'!W$141-'CBA Inputs'!W142)*V$14</f>
        <v>0.34937866356571412</v>
      </c>
      <c r="W83" s="106">
        <f>('CBA Inputs'!X$141-'CBA Inputs'!X142)*W$14</f>
        <v>0.37875697099807049</v>
      </c>
      <c r="X83" s="106">
        <f>('CBA Inputs'!Y$141-'CBA Inputs'!Y142)*X$14</f>
        <v>54166.836710560601</v>
      </c>
      <c r="Y83" s="106">
        <f>('CBA Inputs'!Z$141-'CBA Inputs'!Z142)*Y$14</f>
        <v>8041186.4806538634</v>
      </c>
      <c r="Z83" s="106">
        <f>('CBA Inputs'!AA$141-'CBA Inputs'!AA142)*Z$14</f>
        <v>1491829.4799225247</v>
      </c>
      <c r="AA83" s="106">
        <f>('CBA Inputs'!AB$141-'CBA Inputs'!AB142)*AA$14</f>
        <v>15862208.96994623</v>
      </c>
      <c r="AB83" s="106">
        <f>('CBA Inputs'!AC$141-'CBA Inputs'!AC142)*AB$14</f>
        <v>5302770.2735590637</v>
      </c>
      <c r="AC83" s="106">
        <f>('CBA Inputs'!AD$141-'CBA Inputs'!AD142)*AC$14</f>
        <v>27996406.033400297</v>
      </c>
      <c r="AD83" s="106">
        <f>('CBA Inputs'!AE$141-'CBA Inputs'!AE142)*AD$14</f>
        <v>47052994.78862685</v>
      </c>
      <c r="AE83" s="106">
        <f>('CBA Inputs'!AF$141-'CBA Inputs'!AF142)*AE$14</f>
        <v>0</v>
      </c>
      <c r="AF83" s="106">
        <f>('CBA Inputs'!AG$141-'CBA Inputs'!AG142)*AF$14</f>
        <v>0</v>
      </c>
      <c r="AG83" s="106">
        <f>('CBA Inputs'!AH$141-'CBA Inputs'!AH142)*AG$14</f>
        <v>0</v>
      </c>
      <c r="AH83" s="106">
        <f>('CBA Inputs'!AI$141-'CBA Inputs'!AI142)*AH$14</f>
        <v>0</v>
      </c>
    </row>
    <row r="84" spans="2:34" x14ac:dyDescent="0.25">
      <c r="B84" s="114" t="str">
        <f>'Option inputs'!$C$16</f>
        <v>Option 1B</v>
      </c>
      <c r="C84" s="163" t="s">
        <v>35</v>
      </c>
      <c r="D84" s="123">
        <f>NPV(DiscountRate_ACTIVE,E84:AH84)/(1+DiscountRate_ACTIVE)^(FirstYear-BaseYear-2)*'Option inputs'!$F$15</f>
        <v>21139245.279566906</v>
      </c>
      <c r="E84" s="106">
        <f>('CBA Inputs'!F$141-'CBA Inputs'!F143)*E$14</f>
        <v>0</v>
      </c>
      <c r="F84" s="106">
        <f>('CBA Inputs'!G$141-'CBA Inputs'!G143)*F$14</f>
        <v>-3.6898074988421286</v>
      </c>
      <c r="G84" s="106">
        <f>('CBA Inputs'!H$141-'CBA Inputs'!H143)*G$14</f>
        <v>-3.8780617527081631</v>
      </c>
      <c r="H84" s="106">
        <f>('CBA Inputs'!I$141-'CBA Inputs'!I143)*H$14</f>
        <v>75128.679447095841</v>
      </c>
      <c r="I84" s="106">
        <f>('CBA Inputs'!J$141-'CBA Inputs'!J143)*I$14</f>
        <v>-601233.66487657931</v>
      </c>
      <c r="J84" s="106">
        <f>('CBA Inputs'!K$141-'CBA Inputs'!K143)*J$14</f>
        <v>-82953.242379928939</v>
      </c>
      <c r="K84" s="106">
        <f>('CBA Inputs'!L$141-'CBA Inputs'!L143)*K$14</f>
        <v>-5.1604872626813538</v>
      </c>
      <c r="L84" s="106">
        <f>('CBA Inputs'!M$141-'CBA Inputs'!M143)*L$14</f>
        <v>-5.3494326300246922</v>
      </c>
      <c r="M84" s="106">
        <f>('CBA Inputs'!N$141-'CBA Inputs'!N143)*M$14</f>
        <v>-5.9253250397102253</v>
      </c>
      <c r="N84" s="106">
        <f>('CBA Inputs'!O$141-'CBA Inputs'!O143)*N$14</f>
        <v>-94194.120746386237</v>
      </c>
      <c r="O84" s="106">
        <f>('CBA Inputs'!P$141-'CBA Inputs'!P143)*O$14</f>
        <v>11808.869613962248</v>
      </c>
      <c r="P84" s="106">
        <f>('CBA Inputs'!Q$141-'CBA Inputs'!Q143)*P$14</f>
        <v>8735.3647375421133</v>
      </c>
      <c r="Q84" s="106">
        <f>('CBA Inputs'!R$141-'CBA Inputs'!R143)*Q$14</f>
        <v>-56418.377394258045</v>
      </c>
      <c r="R84" s="106">
        <f>('CBA Inputs'!S$141-'CBA Inputs'!S143)*R$14</f>
        <v>-126695.19923449494</v>
      </c>
      <c r="S84" s="106">
        <f>('CBA Inputs'!T$141-'CBA Inputs'!T143)*S$14</f>
        <v>12459.268007650971</v>
      </c>
      <c r="T84" s="106">
        <f>('CBA Inputs'!U$141-'CBA Inputs'!U143)*T$14</f>
        <v>-238271.93695211317</v>
      </c>
      <c r="U84" s="106">
        <f>('CBA Inputs'!V$141-'CBA Inputs'!V143)*U$14</f>
        <v>-613163.79373208247</v>
      </c>
      <c r="V84" s="106">
        <f>('CBA Inputs'!W$141-'CBA Inputs'!W143)*V$14</f>
        <v>-10.401728070761482</v>
      </c>
      <c r="W84" s="106">
        <f>('CBA Inputs'!X$141-'CBA Inputs'!X143)*W$14</f>
        <v>-11.092952069969062</v>
      </c>
      <c r="X84" s="106">
        <f>('CBA Inputs'!Y$141-'CBA Inputs'!Y143)*X$14</f>
        <v>54993.428973848466</v>
      </c>
      <c r="Y84" s="106">
        <f>('CBA Inputs'!Z$141-'CBA Inputs'!Z143)*Y$14</f>
        <v>8541.5189663767815</v>
      </c>
      <c r="Z84" s="106">
        <f>('CBA Inputs'!AA$141-'CBA Inputs'!AA143)*Z$14</f>
        <v>-634555.47211983055</v>
      </c>
      <c r="AA84" s="106">
        <f>('CBA Inputs'!AB$141-'CBA Inputs'!AB143)*AA$14</f>
        <v>14972186.144872181</v>
      </c>
      <c r="AB84" s="106">
        <f>('CBA Inputs'!AC$141-'CBA Inputs'!AC143)*AB$14</f>
        <v>1158125.4934986122</v>
      </c>
      <c r="AC84" s="106">
        <f>('CBA Inputs'!AD$141-'CBA Inputs'!AD143)*AC$14</f>
        <v>26135139.285203934</v>
      </c>
      <c r="AD84" s="106">
        <f>('CBA Inputs'!AE$141-'CBA Inputs'!AE143)*AD$14</f>
        <v>41611436.667238414</v>
      </c>
      <c r="AE84" s="106">
        <f>('CBA Inputs'!AF$141-'CBA Inputs'!AF143)*AE$14</f>
        <v>0</v>
      </c>
      <c r="AF84" s="106">
        <f>('CBA Inputs'!AG$141-'CBA Inputs'!AG143)*AF$14</f>
        <v>0</v>
      </c>
      <c r="AG84" s="106">
        <f>('CBA Inputs'!AH$141-'CBA Inputs'!AH143)*AG$14</f>
        <v>0</v>
      </c>
      <c r="AH84" s="106">
        <f>('CBA Inputs'!AI$141-'CBA Inputs'!AI143)*AH$14</f>
        <v>0</v>
      </c>
    </row>
    <row r="85" spans="2:34" x14ac:dyDescent="0.25">
      <c r="B85" s="114" t="str">
        <f>'Option inputs'!$C$17</f>
        <v>Option 1C</v>
      </c>
      <c r="C85" s="163" t="s">
        <v>35</v>
      </c>
      <c r="D85" s="123">
        <f>NPV(DiscountRate_ACTIVE,E85:AH85)/(1+DiscountRate_ACTIVE)^(FirstYear-BaseYear-2)*'Option inputs'!$F$15</f>
        <v>6979162.2946051387</v>
      </c>
      <c r="E85" s="106">
        <f>('CBA Inputs'!F$141-'CBA Inputs'!F144)*E$14</f>
        <v>0</v>
      </c>
      <c r="F85" s="106">
        <f>('CBA Inputs'!G$141-'CBA Inputs'!G144)*F$14</f>
        <v>0.76595700312464032</v>
      </c>
      <c r="G85" s="106">
        <f>('CBA Inputs'!H$141-'CBA Inputs'!H144)*G$14</f>
        <v>0.79872966837137938</v>
      </c>
      <c r="H85" s="106">
        <f>('CBA Inputs'!I$141-'CBA Inputs'!I144)*H$14</f>
        <v>590610.50357145956</v>
      </c>
      <c r="I85" s="106">
        <f>('CBA Inputs'!J$141-'CBA Inputs'!J144)*I$14</f>
        <v>-15174.24598216638</v>
      </c>
      <c r="J85" s="106">
        <f>('CBA Inputs'!K$141-'CBA Inputs'!K144)*J$14</f>
        <v>10066.09203916043</v>
      </c>
      <c r="K85" s="106">
        <f>('CBA Inputs'!L$141-'CBA Inputs'!L144)*K$14</f>
        <v>1.0695600647882961</v>
      </c>
      <c r="L85" s="106">
        <f>('CBA Inputs'!M$141-'CBA Inputs'!M144)*L$14</f>
        <v>1.1098161192586953</v>
      </c>
      <c r="M85" s="106">
        <f>('CBA Inputs'!N$141-'CBA Inputs'!N144)*M$14</f>
        <v>1.2280765228321178</v>
      </c>
      <c r="N85" s="106">
        <f>('CBA Inputs'!O$141-'CBA Inputs'!O144)*N$14</f>
        <v>35875.635178757133</v>
      </c>
      <c r="O85" s="106">
        <f>('CBA Inputs'!P$141-'CBA Inputs'!P144)*O$14</f>
        <v>-1581.6953448154964</v>
      </c>
      <c r="P85" s="106">
        <f>('CBA Inputs'!Q$141-'CBA Inputs'!Q144)*P$14</f>
        <v>92617.728699227795</v>
      </c>
      <c r="Q85" s="106">
        <f>('CBA Inputs'!R$141-'CBA Inputs'!R144)*Q$14</f>
        <v>55916.553480293835</v>
      </c>
      <c r="R85" s="106">
        <f>('CBA Inputs'!S$141-'CBA Inputs'!S144)*R$14</f>
        <v>118693.0389124942</v>
      </c>
      <c r="S85" s="106">
        <f>('CBA Inputs'!T$141-'CBA Inputs'!T144)*S$14</f>
        <v>1038139.3687918903</v>
      </c>
      <c r="T85" s="106">
        <f>('CBA Inputs'!U$141-'CBA Inputs'!U144)*T$14</f>
        <v>1729006.3578154743</v>
      </c>
      <c r="U85" s="106">
        <f>('CBA Inputs'!V$141-'CBA Inputs'!V144)*U$14</f>
        <v>4468843.5539296567</v>
      </c>
      <c r="V85" s="106">
        <f>('CBA Inputs'!W$141-'CBA Inputs'!W144)*V$14</f>
        <v>2.1606926450320261</v>
      </c>
      <c r="W85" s="106">
        <f>('CBA Inputs'!X$141-'CBA Inputs'!X144)*W$14</f>
        <v>2.3030659446302808</v>
      </c>
      <c r="X85" s="106">
        <f>('CBA Inputs'!Y$141-'CBA Inputs'!Y144)*X$14</f>
        <v>-280.85643157688901</v>
      </c>
      <c r="Y85" s="106">
        <f>('CBA Inputs'!Z$141-'CBA Inputs'!Z144)*Y$14</f>
        <v>7699503.0000094324</v>
      </c>
      <c r="Z85" s="106">
        <f>('CBA Inputs'!AA$141-'CBA Inputs'!AA144)*Z$14</f>
        <v>2046679.5223356625</v>
      </c>
      <c r="AA85" s="106">
        <f>('CBA Inputs'!AB$141-'CBA Inputs'!AB144)*AA$14</f>
        <v>823120.78960151598</v>
      </c>
      <c r="AB85" s="106">
        <f>('CBA Inputs'!AC$141-'CBA Inputs'!AC144)*AB$14</f>
        <v>3682658.4583247751</v>
      </c>
      <c r="AC85" s="106">
        <f>('CBA Inputs'!AD$141-'CBA Inputs'!AD144)*AC$14</f>
        <v>-2291173.9613759518</v>
      </c>
      <c r="AD85" s="106">
        <f>('CBA Inputs'!AE$141-'CBA Inputs'!AE144)*AD$14</f>
        <v>-3101029.218593359</v>
      </c>
      <c r="AE85" s="106">
        <f>('CBA Inputs'!AF$141-'CBA Inputs'!AF144)*AE$14</f>
        <v>0</v>
      </c>
      <c r="AF85" s="106">
        <f>('CBA Inputs'!AG$141-'CBA Inputs'!AG144)*AF$14</f>
        <v>0</v>
      </c>
      <c r="AG85" s="106">
        <f>('CBA Inputs'!AH$141-'CBA Inputs'!AH144)*AG$14</f>
        <v>0</v>
      </c>
      <c r="AH85" s="106">
        <f>('CBA Inputs'!AI$141-'CBA Inputs'!AI144)*AH$14</f>
        <v>0</v>
      </c>
    </row>
    <row r="86" spans="2:34" x14ac:dyDescent="0.25">
      <c r="B86" s="114" t="str">
        <f>'Option inputs'!$C$18</f>
        <v>Option 1D</v>
      </c>
      <c r="C86" s="163" t="s">
        <v>35</v>
      </c>
      <c r="D86" s="123">
        <f>NPV(DiscountRate_ACTIVE,E86:AH86)/(1+DiscountRate_ACTIVE)^(FirstYear-BaseYear-2)*'Option inputs'!$F$15</f>
        <v>1658574.4479903865</v>
      </c>
      <c r="E86" s="106">
        <f>('CBA Inputs'!F$141-'CBA Inputs'!F145)*E$14</f>
        <v>0</v>
      </c>
      <c r="F86" s="106">
        <f>('CBA Inputs'!G$141-'CBA Inputs'!G145)*F$14</f>
        <v>-3.9204447578522377</v>
      </c>
      <c r="G86" s="106">
        <f>('CBA Inputs'!H$141-'CBA Inputs'!H145)*G$14</f>
        <v>-4.1336915276478976</v>
      </c>
      <c r="H86" s="106">
        <f>('CBA Inputs'!I$141-'CBA Inputs'!I145)*H$14</f>
        <v>322154.81308041466</v>
      </c>
      <c r="I86" s="106">
        <f>('CBA Inputs'!J$141-'CBA Inputs'!J145)*I$14</f>
        <v>-13474.842368054204</v>
      </c>
      <c r="J86" s="106">
        <f>('CBA Inputs'!K$141-'CBA Inputs'!K145)*J$14</f>
        <v>28955.019506215118</v>
      </c>
      <c r="K86" s="106">
        <f>('CBA Inputs'!L$141-'CBA Inputs'!L145)*K$14</f>
        <v>-5.4773627801950813</v>
      </c>
      <c r="L86" s="106">
        <f>('CBA Inputs'!M$141-'CBA Inputs'!M145)*L$14</f>
        <v>-5.6810823505872037</v>
      </c>
      <c r="M86" s="106">
        <f>('CBA Inputs'!N$141-'CBA Inputs'!N145)*M$14</f>
        <v>-6.2897624709500022</v>
      </c>
      <c r="N86" s="106">
        <f>('CBA Inputs'!O$141-'CBA Inputs'!O145)*N$14</f>
        <v>37339.695651289774</v>
      </c>
      <c r="O86" s="106">
        <f>('CBA Inputs'!P$141-'CBA Inputs'!P145)*O$14</f>
        <v>-1259.0978613675106</v>
      </c>
      <c r="P86" s="106">
        <f>('CBA Inputs'!Q$141-'CBA Inputs'!Q145)*P$14</f>
        <v>93847.745826459141</v>
      </c>
      <c r="Q86" s="106">
        <f>('CBA Inputs'!R$141-'CBA Inputs'!R145)*Q$14</f>
        <v>10571.301422157092</v>
      </c>
      <c r="R86" s="106">
        <f>('CBA Inputs'!S$141-'CBA Inputs'!S145)*R$14</f>
        <v>118682.74302426912</v>
      </c>
      <c r="S86" s="106">
        <f>('CBA Inputs'!T$141-'CBA Inputs'!T145)*S$14</f>
        <v>666753.23841691855</v>
      </c>
      <c r="T86" s="106">
        <f>('CBA Inputs'!U$141-'CBA Inputs'!U145)*T$14</f>
        <v>906941.02471774491</v>
      </c>
      <c r="U86" s="106">
        <f>('CBA Inputs'!V$141-'CBA Inputs'!V145)*U$14</f>
        <v>-5735.0353150907904</v>
      </c>
      <c r="V86" s="106">
        <f>('CBA Inputs'!W$141-'CBA Inputs'!W145)*V$14</f>
        <v>-11.014204558373159</v>
      </c>
      <c r="W86" s="106">
        <f>('CBA Inputs'!X$141-'CBA Inputs'!X145)*W$14</f>
        <v>-11.747249265170243</v>
      </c>
      <c r="X86" s="106">
        <f>('CBA Inputs'!Y$141-'CBA Inputs'!Y145)*X$14</f>
        <v>-7557.9830424878746</v>
      </c>
      <c r="Y86" s="106">
        <f>('CBA Inputs'!Z$141-'CBA Inputs'!Z145)*Y$14</f>
        <v>-120598.43591038138</v>
      </c>
      <c r="Z86" s="106">
        <f>('CBA Inputs'!AA$141-'CBA Inputs'!AA145)*Z$14</f>
        <v>106276.47337421589</v>
      </c>
      <c r="AA86" s="106">
        <f>('CBA Inputs'!AB$141-'CBA Inputs'!AB145)*AA$14</f>
        <v>517041.6831465438</v>
      </c>
      <c r="AB86" s="106">
        <f>('CBA Inputs'!AC$141-'CBA Inputs'!AC145)*AB$14</f>
        <v>487856.07882601395</v>
      </c>
      <c r="AC86" s="106">
        <f>('CBA Inputs'!AD$141-'CBA Inputs'!AD145)*AC$14</f>
        <v>-803684.56723481417</v>
      </c>
      <c r="AD86" s="106">
        <f>('CBA Inputs'!AE$141-'CBA Inputs'!AE145)*AD$14</f>
        <v>1699244.3034161925</v>
      </c>
      <c r="AE86" s="106">
        <f>('CBA Inputs'!AF$141-'CBA Inputs'!AF145)*AE$14</f>
        <v>0</v>
      </c>
      <c r="AF86" s="106">
        <f>('CBA Inputs'!AG$141-'CBA Inputs'!AG145)*AF$14</f>
        <v>0</v>
      </c>
      <c r="AG86" s="106">
        <f>('CBA Inputs'!AH$141-'CBA Inputs'!AH145)*AG$14</f>
        <v>0</v>
      </c>
      <c r="AH86" s="106">
        <f>('CBA Inputs'!AI$141-'CBA Inputs'!AI145)*AH$14</f>
        <v>0</v>
      </c>
    </row>
    <row r="87" spans="2:34" x14ac:dyDescent="0.25">
      <c r="B87" s="114"/>
      <c r="C87" s="114"/>
      <c r="D87" s="123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</row>
    <row r="88" spans="2:34" ht="13" x14ac:dyDescent="0.3">
      <c r="B88" s="122" t="str">
        <f>B57</f>
        <v>Costs for non RIT-T proponent parties</v>
      </c>
      <c r="C88" s="122"/>
      <c r="D88" s="123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</row>
    <row r="89" spans="2:34" x14ac:dyDescent="0.25">
      <c r="B89" s="114" t="str">
        <f>'Option inputs'!$C$15</f>
        <v>Option 1A</v>
      </c>
      <c r="C89" s="163" t="s">
        <v>35</v>
      </c>
      <c r="D89" s="123">
        <f>NPV(DiscountRate_ACTIVE,E89:AH89)/(1+DiscountRate_ACTIVE)^(FirstYear-BaseYear-2)*'Option inputs'!$F$15</f>
        <v>263752388.59255403</v>
      </c>
      <c r="E89" s="106">
        <f>('CBA Inputs'!F$171-'CBA Inputs'!F172)*E$14</f>
        <v>0</v>
      </c>
      <c r="F89" s="106">
        <f>('CBA Inputs'!G$171-'CBA Inputs'!G172)*F$14</f>
        <v>25.066630125045776</v>
      </c>
      <c r="G89" s="106">
        <f>('CBA Inputs'!H$171-'CBA Inputs'!H172)*G$14</f>
        <v>5712.3228920698166</v>
      </c>
      <c r="H89" s="106">
        <f>('CBA Inputs'!I$171-'CBA Inputs'!I172)*H$14</f>
        <v>241003185.42762017</v>
      </c>
      <c r="I89" s="106">
        <f>('CBA Inputs'!J$171-'CBA Inputs'!J172)*I$14</f>
        <v>-25818571.886700869</v>
      </c>
      <c r="J89" s="106">
        <f>('CBA Inputs'!K$171-'CBA Inputs'!K172)*J$14</f>
        <v>-30832355.099377632</v>
      </c>
      <c r="K89" s="106">
        <f>('CBA Inputs'!L$171-'CBA Inputs'!L172)*K$14</f>
        <v>-15992333.031597137</v>
      </c>
      <c r="L89" s="106">
        <f>('CBA Inputs'!M$171-'CBA Inputs'!M172)*L$14</f>
        <v>13689884.293180943</v>
      </c>
      <c r="M89" s="106">
        <f>('CBA Inputs'!N$171-'CBA Inputs'!N172)*M$14</f>
        <v>31068519.587863922</v>
      </c>
      <c r="N89" s="106">
        <f>('CBA Inputs'!O$171-'CBA Inputs'!O172)*N$14</f>
        <v>24718120.750388145</v>
      </c>
      <c r="O89" s="106">
        <f>('CBA Inputs'!P$171-'CBA Inputs'!P172)*O$14</f>
        <v>29945652.223619461</v>
      </c>
      <c r="P89" s="106">
        <f>('CBA Inputs'!Q$171-'CBA Inputs'!Q172)*P$14</f>
        <v>-61354288.663303375</v>
      </c>
      <c r="Q89" s="106">
        <f>('CBA Inputs'!R$171-'CBA Inputs'!R172)*Q$14</f>
        <v>-38400783.253278732</v>
      </c>
      <c r="R89" s="106">
        <f>('CBA Inputs'!S$171-'CBA Inputs'!S172)*R$14</f>
        <v>56185035.994997501</v>
      </c>
      <c r="S89" s="106">
        <f>('CBA Inputs'!T$171-'CBA Inputs'!T172)*S$14</f>
        <v>-33165493.300700188</v>
      </c>
      <c r="T89" s="106">
        <f>('CBA Inputs'!U$171-'CBA Inputs'!U172)*T$14</f>
        <v>104465495.42736101</v>
      </c>
      <c r="U89" s="106">
        <f>('CBA Inputs'!V$171-'CBA Inputs'!V172)*U$14</f>
        <v>117464705.02268219</v>
      </c>
      <c r="V89" s="106">
        <f>('CBA Inputs'!W$171-'CBA Inputs'!W172)*V$14</f>
        <v>5158211.0545921326</v>
      </c>
      <c r="W89" s="106">
        <f>('CBA Inputs'!X$171-'CBA Inputs'!X172)*W$14</f>
        <v>-71372234.097266197</v>
      </c>
      <c r="X89" s="106">
        <f>('CBA Inputs'!Y$171-'CBA Inputs'!Y172)*X$14</f>
        <v>-23685709.344594955</v>
      </c>
      <c r="Y89" s="106">
        <f>('CBA Inputs'!Z$171-'CBA Inputs'!Z172)*Y$14</f>
        <v>8533108.4398384094</v>
      </c>
      <c r="Z89" s="106">
        <f>('CBA Inputs'!AA$171-'CBA Inputs'!AA172)*Z$14</f>
        <v>13928558.932641029</v>
      </c>
      <c r="AA89" s="106">
        <f>('CBA Inputs'!AB$171-'CBA Inputs'!AB172)*AA$14</f>
        <v>-6189044.1551060677</v>
      </c>
      <c r="AB89" s="106">
        <f>('CBA Inputs'!AC$171-'CBA Inputs'!AC172)*AB$14</f>
        <v>-895079.77723395824</v>
      </c>
      <c r="AC89" s="106">
        <f>('CBA Inputs'!AD$171-'CBA Inputs'!AD172)*AC$14</f>
        <v>77237946.973473549</v>
      </c>
      <c r="AD89" s="106">
        <f>('CBA Inputs'!AE$171-'CBA Inputs'!AE172)*AD$14</f>
        <v>-13621875.780478716</v>
      </c>
      <c r="AE89" s="106">
        <f>('CBA Inputs'!AF$171-'CBA Inputs'!AF172)*AE$14</f>
        <v>0</v>
      </c>
      <c r="AF89" s="106">
        <f>('CBA Inputs'!AG$171-'CBA Inputs'!AG172)*AF$14</f>
        <v>0</v>
      </c>
      <c r="AG89" s="106">
        <f>('CBA Inputs'!AH$171-'CBA Inputs'!AH172)*AG$14</f>
        <v>0</v>
      </c>
      <c r="AH89" s="106">
        <f>('CBA Inputs'!AI$171-'CBA Inputs'!AI172)*AH$14</f>
        <v>0</v>
      </c>
    </row>
    <row r="90" spans="2:34" x14ac:dyDescent="0.25">
      <c r="B90" s="114" t="str">
        <f>'Option inputs'!$C$16</f>
        <v>Option 1B</v>
      </c>
      <c r="C90" s="163" t="s">
        <v>35</v>
      </c>
      <c r="D90" s="123">
        <f>NPV(DiscountRate_ACTIVE,E90:AH90)/(1+DiscountRate_ACTIVE)^(FirstYear-BaseYear-2)*'Option inputs'!$F$15</f>
        <v>149603622.09676498</v>
      </c>
      <c r="E90" s="106">
        <f>('CBA Inputs'!F$171-'CBA Inputs'!F173)*E$14</f>
        <v>0</v>
      </c>
      <c r="F90" s="106">
        <f>('CBA Inputs'!G$171-'CBA Inputs'!G173)*F$14</f>
        <v>-425.60512411594391</v>
      </c>
      <c r="G90" s="106">
        <f>('CBA Inputs'!H$171-'CBA Inputs'!H173)*G$14</f>
        <v>1159.5012642145157</v>
      </c>
      <c r="H90" s="106">
        <f>('CBA Inputs'!I$171-'CBA Inputs'!I173)*H$14</f>
        <v>118803954.03489208</v>
      </c>
      <c r="I90" s="106">
        <f>('CBA Inputs'!J$171-'CBA Inputs'!J173)*I$14</f>
        <v>-581576.14018464088</v>
      </c>
      <c r="J90" s="106">
        <f>('CBA Inputs'!K$171-'CBA Inputs'!K173)*J$14</f>
        <v>-80926046.935074806</v>
      </c>
      <c r="K90" s="106">
        <f>('CBA Inputs'!L$171-'CBA Inputs'!L173)*K$14</f>
        <v>-19372156.970410347</v>
      </c>
      <c r="L90" s="106">
        <f>('CBA Inputs'!M$171-'CBA Inputs'!M173)*L$14</f>
        <v>32811639.717270851</v>
      </c>
      <c r="M90" s="106">
        <f>('CBA Inputs'!N$171-'CBA Inputs'!N173)*M$14</f>
        <v>47983025.012712479</v>
      </c>
      <c r="N90" s="106">
        <f>('CBA Inputs'!O$171-'CBA Inputs'!O173)*N$14</f>
        <v>-4829252.4228515625</v>
      </c>
      <c r="O90" s="106">
        <f>('CBA Inputs'!P$171-'CBA Inputs'!P173)*O$14</f>
        <v>47543116.240949631</v>
      </c>
      <c r="P90" s="106">
        <f>('CBA Inputs'!Q$171-'CBA Inputs'!Q173)*P$14</f>
        <v>-50438706.552740574</v>
      </c>
      <c r="Q90" s="106">
        <f>('CBA Inputs'!R$171-'CBA Inputs'!R173)*Q$14</f>
        <v>-67766417.572711945</v>
      </c>
      <c r="R90" s="106">
        <f>('CBA Inputs'!S$171-'CBA Inputs'!S173)*R$14</f>
        <v>124417047.00885201</v>
      </c>
      <c r="S90" s="106">
        <f>('CBA Inputs'!T$171-'CBA Inputs'!T173)*S$14</f>
        <v>-16506294.500908852</v>
      </c>
      <c r="T90" s="106">
        <f>('CBA Inputs'!U$171-'CBA Inputs'!U173)*T$14</f>
        <v>22738175.544400454</v>
      </c>
      <c r="U90" s="106">
        <f>('CBA Inputs'!V$171-'CBA Inputs'!V173)*U$14</f>
        <v>100697666.09472847</v>
      </c>
      <c r="V90" s="106">
        <f>('CBA Inputs'!W$171-'CBA Inputs'!W173)*V$14</f>
        <v>-11878716.380595207</v>
      </c>
      <c r="W90" s="106">
        <f>('CBA Inputs'!X$171-'CBA Inputs'!X173)*W$14</f>
        <v>-7517979.6912808418</v>
      </c>
      <c r="X90" s="106">
        <f>('CBA Inputs'!Y$171-'CBA Inputs'!Y173)*X$14</f>
        <v>-12638830.859251261</v>
      </c>
      <c r="Y90" s="106">
        <f>('CBA Inputs'!Z$171-'CBA Inputs'!Z173)*Y$14</f>
        <v>2319298.3741645813</v>
      </c>
      <c r="Z90" s="106">
        <f>('CBA Inputs'!AA$171-'CBA Inputs'!AA173)*Z$14</f>
        <v>9313486.7740821838</v>
      </c>
      <c r="AA90" s="106">
        <f>('CBA Inputs'!AB$171-'CBA Inputs'!AB173)*AA$14</f>
        <v>-9281753.923350811</v>
      </c>
      <c r="AB90" s="106">
        <f>('CBA Inputs'!AC$171-'CBA Inputs'!AC173)*AB$14</f>
        <v>-917745.37960600853</v>
      </c>
      <c r="AC90" s="106">
        <f>('CBA Inputs'!AD$171-'CBA Inputs'!AD173)*AC$14</f>
        <v>46924111.064556122</v>
      </c>
      <c r="AD90" s="106">
        <f>('CBA Inputs'!AE$171-'CBA Inputs'!AE173)*AD$14</f>
        <v>-7261537.6953244209</v>
      </c>
      <c r="AE90" s="106">
        <f>('CBA Inputs'!AF$171-'CBA Inputs'!AF173)*AE$14</f>
        <v>0</v>
      </c>
      <c r="AF90" s="106">
        <f>('CBA Inputs'!AG$171-'CBA Inputs'!AG173)*AF$14</f>
        <v>0</v>
      </c>
      <c r="AG90" s="106">
        <f>('CBA Inputs'!AH$171-'CBA Inputs'!AH173)*AG$14</f>
        <v>0</v>
      </c>
      <c r="AH90" s="106">
        <f>('CBA Inputs'!AI$171-'CBA Inputs'!AI173)*AH$14</f>
        <v>0</v>
      </c>
    </row>
    <row r="91" spans="2:34" x14ac:dyDescent="0.25">
      <c r="B91" s="114" t="str">
        <f>'Option inputs'!$C$17</f>
        <v>Option 1C</v>
      </c>
      <c r="C91" s="163" t="s">
        <v>35</v>
      </c>
      <c r="D91" s="123">
        <f>NPV(DiscountRate_ACTIVE,E91:AH91)/(1+DiscountRate_ACTIVE)^(FirstYear-BaseYear-2)*'Option inputs'!$F$15</f>
        <v>71821689.696953431</v>
      </c>
      <c r="E91" s="106">
        <f>('CBA Inputs'!F$171-'CBA Inputs'!F174)*E$14</f>
        <v>0</v>
      </c>
      <c r="F91" s="106">
        <f>('CBA Inputs'!G$171-'CBA Inputs'!G174)*F$14</f>
        <v>89.408979058265686</v>
      </c>
      <c r="G91" s="106">
        <f>('CBA Inputs'!H$171-'CBA Inputs'!H174)*G$14</f>
        <v>-437.6492600440979</v>
      </c>
      <c r="H91" s="106">
        <f>('CBA Inputs'!I$171-'CBA Inputs'!I174)*H$14</f>
        <v>-11807106.47792244</v>
      </c>
      <c r="I91" s="106">
        <f>('CBA Inputs'!J$171-'CBA Inputs'!J174)*I$14</f>
        <v>712140.49052619934</v>
      </c>
      <c r="J91" s="106">
        <f>('CBA Inputs'!K$171-'CBA Inputs'!K174)*J$14</f>
        <v>118553019.75292969</v>
      </c>
      <c r="K91" s="106">
        <f>('CBA Inputs'!L$171-'CBA Inputs'!L174)*K$14</f>
        <v>32136522.890829563</v>
      </c>
      <c r="L91" s="106">
        <f>('CBA Inputs'!M$171-'CBA Inputs'!M174)*L$14</f>
        <v>-14988561.315556049</v>
      </c>
      <c r="M91" s="106">
        <f>('CBA Inputs'!N$171-'CBA Inputs'!N174)*M$14</f>
        <v>-29372745.370790482</v>
      </c>
      <c r="N91" s="106">
        <f>('CBA Inputs'!O$171-'CBA Inputs'!O174)*N$14</f>
        <v>35998504.617671967</v>
      </c>
      <c r="O91" s="106">
        <f>('CBA Inputs'!P$171-'CBA Inputs'!P174)*O$14</f>
        <v>-61378287.005620956</v>
      </c>
      <c r="P91" s="106">
        <f>('CBA Inputs'!Q$171-'CBA Inputs'!Q174)*P$14</f>
        <v>21409415.224655628</v>
      </c>
      <c r="Q91" s="106">
        <f>('CBA Inputs'!R$171-'CBA Inputs'!R174)*Q$14</f>
        <v>5947516.0703773499</v>
      </c>
      <c r="R91" s="106">
        <f>('CBA Inputs'!S$171-'CBA Inputs'!S174)*R$14</f>
        <v>-59567858.752700329</v>
      </c>
      <c r="S91" s="106">
        <f>('CBA Inputs'!T$171-'CBA Inputs'!T174)*S$14</f>
        <v>-2787748.6173062325</v>
      </c>
      <c r="T91" s="106">
        <f>('CBA Inputs'!U$171-'CBA Inputs'!U174)*T$14</f>
        <v>86144502.961203337</v>
      </c>
      <c r="U91" s="106">
        <f>('CBA Inputs'!V$171-'CBA Inputs'!V174)*U$14</f>
        <v>-604978.63382339478</v>
      </c>
      <c r="V91" s="106">
        <f>('CBA Inputs'!W$171-'CBA Inputs'!W174)*V$14</f>
        <v>-9320636.3002142906</v>
      </c>
      <c r="W91" s="106">
        <f>('CBA Inputs'!X$171-'CBA Inputs'!X174)*W$14</f>
        <v>-36897836.83519268</v>
      </c>
      <c r="X91" s="106">
        <f>('CBA Inputs'!Y$171-'CBA Inputs'!Y174)*X$14</f>
        <v>-19871805.892876387</v>
      </c>
      <c r="Y91" s="106">
        <f>('CBA Inputs'!Z$171-'CBA Inputs'!Z174)*Y$14</f>
        <v>71510.456345558167</v>
      </c>
      <c r="Z91" s="106">
        <f>('CBA Inputs'!AA$171-'CBA Inputs'!AA174)*Z$14</f>
        <v>7599435.5515794754</v>
      </c>
      <c r="AA91" s="106">
        <f>('CBA Inputs'!AB$171-'CBA Inputs'!AB174)*AA$14</f>
        <v>-2470777.0636532307</v>
      </c>
      <c r="AB91" s="106">
        <f>('CBA Inputs'!AC$171-'CBA Inputs'!AC174)*AB$14</f>
        <v>151514.3697603941</v>
      </c>
      <c r="AC91" s="106">
        <f>('CBA Inputs'!AD$171-'CBA Inputs'!AD174)*AC$14</f>
        <v>29448623.881676674</v>
      </c>
      <c r="AD91" s="106">
        <f>('CBA Inputs'!AE$171-'CBA Inputs'!AE174)*AD$14</f>
        <v>1280902.5429327488</v>
      </c>
      <c r="AE91" s="106">
        <f>('CBA Inputs'!AF$171-'CBA Inputs'!AF174)*AE$14</f>
        <v>0</v>
      </c>
      <c r="AF91" s="106">
        <f>('CBA Inputs'!AG$171-'CBA Inputs'!AG174)*AF$14</f>
        <v>0</v>
      </c>
      <c r="AG91" s="106">
        <f>('CBA Inputs'!AH$171-'CBA Inputs'!AH174)*AG$14</f>
        <v>0</v>
      </c>
      <c r="AH91" s="106">
        <f>('CBA Inputs'!AI$171-'CBA Inputs'!AI174)*AH$14</f>
        <v>0</v>
      </c>
    </row>
    <row r="92" spans="2:34" x14ac:dyDescent="0.25">
      <c r="B92" s="114" t="str">
        <f>'Option inputs'!$C$18</f>
        <v>Option 1D</v>
      </c>
      <c r="C92" s="163" t="s">
        <v>35</v>
      </c>
      <c r="D92" s="123">
        <f>NPV(DiscountRate_ACTIVE,E92:AH92)/(1+DiscountRate_ACTIVE)^(FirstYear-BaseYear-2)*'Option inputs'!$F$15</f>
        <v>48450360.975433685</v>
      </c>
      <c r="E92" s="106">
        <f>('CBA Inputs'!F$171-'CBA Inputs'!F175)*E$14</f>
        <v>0</v>
      </c>
      <c r="F92" s="106">
        <f>('CBA Inputs'!G$171-'CBA Inputs'!G175)*F$14</f>
        <v>-455.61537599563599</v>
      </c>
      <c r="G92" s="106">
        <f>('CBA Inputs'!H$171-'CBA Inputs'!H175)*G$14</f>
        <v>-732.36522781848907</v>
      </c>
      <c r="H92" s="106">
        <f>('CBA Inputs'!I$171-'CBA Inputs'!I175)*H$14</f>
        <v>3563789.4663391113</v>
      </c>
      <c r="I92" s="106">
        <f>('CBA Inputs'!J$171-'CBA Inputs'!J175)*I$14</f>
        <v>-6431780.1902630329</v>
      </c>
      <c r="J92" s="106">
        <f>('CBA Inputs'!K$171-'CBA Inputs'!K175)*J$14</f>
        <v>105517207.29095173</v>
      </c>
      <c r="K92" s="106">
        <f>('CBA Inputs'!L$171-'CBA Inputs'!L175)*K$14</f>
        <v>16828765.404815197</v>
      </c>
      <c r="L92" s="106">
        <f>('CBA Inputs'!M$171-'CBA Inputs'!M175)*L$14</f>
        <v>-11144435.400421143</v>
      </c>
      <c r="M92" s="106">
        <f>('CBA Inputs'!N$171-'CBA Inputs'!N175)*M$14</f>
        <v>-27976871.060844421</v>
      </c>
      <c r="N92" s="106">
        <f>('CBA Inputs'!O$171-'CBA Inputs'!O175)*N$14</f>
        <v>19973551.879450798</v>
      </c>
      <c r="O92" s="106">
        <f>('CBA Inputs'!P$171-'CBA Inputs'!P175)*O$14</f>
        <v>-50326752.070815086</v>
      </c>
      <c r="P92" s="106">
        <f>('CBA Inputs'!Q$171-'CBA Inputs'!Q175)*P$14</f>
        <v>28651504.033702374</v>
      </c>
      <c r="Q92" s="106">
        <f>('CBA Inputs'!R$171-'CBA Inputs'!R175)*Q$14</f>
        <v>-31776443.313757896</v>
      </c>
      <c r="R92" s="106">
        <f>('CBA Inputs'!S$171-'CBA Inputs'!S175)*R$14</f>
        <v>-19957302.418260098</v>
      </c>
      <c r="S92" s="106">
        <f>('CBA Inputs'!T$171-'CBA Inputs'!T175)*S$14</f>
        <v>20804498.515688419</v>
      </c>
      <c r="T92" s="106">
        <f>('CBA Inputs'!U$171-'CBA Inputs'!U175)*T$14</f>
        <v>-2199915.2380583286</v>
      </c>
      <c r="U92" s="106">
        <f>('CBA Inputs'!V$171-'CBA Inputs'!V175)*U$14</f>
        <v>25683715.599815369</v>
      </c>
      <c r="V92" s="106">
        <f>('CBA Inputs'!W$171-'CBA Inputs'!W175)*V$14</f>
        <v>-3110159.193883419</v>
      </c>
      <c r="W92" s="106">
        <f>('CBA Inputs'!X$171-'CBA Inputs'!X175)*W$14</f>
        <v>-19433893.468532562</v>
      </c>
      <c r="X92" s="106">
        <f>('CBA Inputs'!Y$171-'CBA Inputs'!Y175)*X$14</f>
        <v>-12869330.840329409</v>
      </c>
      <c r="Y92" s="106">
        <f>('CBA Inputs'!Z$171-'CBA Inputs'!Z175)*Y$14</f>
        <v>2526980.7385263443</v>
      </c>
      <c r="Z92" s="106">
        <f>('CBA Inputs'!AA$171-'CBA Inputs'!AA175)*Z$14</f>
        <v>222537.97697257996</v>
      </c>
      <c r="AA92" s="106">
        <f>('CBA Inputs'!AB$171-'CBA Inputs'!AB175)*AA$14</f>
        <v>-1360876.9240531921</v>
      </c>
      <c r="AB92" s="106">
        <f>('CBA Inputs'!AC$171-'CBA Inputs'!AC175)*AB$14</f>
        <v>169708.28305053711</v>
      </c>
      <c r="AC92" s="106">
        <f>('CBA Inputs'!AD$171-'CBA Inputs'!AD175)*AC$14</f>
        <v>7466991.7804613113</v>
      </c>
      <c r="AD92" s="106">
        <f>('CBA Inputs'!AE$171-'CBA Inputs'!AE175)*AD$14</f>
        <v>-610258.6193010807</v>
      </c>
      <c r="AE92" s="106">
        <f>('CBA Inputs'!AF$171-'CBA Inputs'!AF175)*AE$14</f>
        <v>0</v>
      </c>
      <c r="AF92" s="106">
        <f>('CBA Inputs'!AG$171-'CBA Inputs'!AG175)*AF$14</f>
        <v>0</v>
      </c>
      <c r="AG92" s="106">
        <f>('CBA Inputs'!AH$171-'CBA Inputs'!AH175)*AG$14</f>
        <v>0</v>
      </c>
      <c r="AH92" s="106">
        <f>('CBA Inputs'!AI$171-'CBA Inputs'!AI175)*AH$14</f>
        <v>0</v>
      </c>
    </row>
    <row r="94" spans="2:34" ht="13" x14ac:dyDescent="0.3">
      <c r="B94" s="113" t="str">
        <f>F6</f>
        <v>Slow change</v>
      </c>
      <c r="C94" s="158" t="s">
        <v>7</v>
      </c>
      <c r="D94" s="107" t="s">
        <v>38</v>
      </c>
      <c r="E94" s="107" t="str">
        <f>E$19</f>
        <v>FY 2019-20</v>
      </c>
      <c r="F94" s="107" t="str">
        <f t="shared" ref="F94:AH94" si="7">F$19</f>
        <v>FY 2020-21</v>
      </c>
      <c r="G94" s="107" t="str">
        <f t="shared" si="7"/>
        <v>FY 2021-22</v>
      </c>
      <c r="H94" s="107" t="str">
        <f t="shared" si="7"/>
        <v>FY 2022-23</v>
      </c>
      <c r="I94" s="107" t="str">
        <f t="shared" si="7"/>
        <v>FY 2023-24</v>
      </c>
      <c r="J94" s="107" t="str">
        <f t="shared" si="7"/>
        <v>FY 2024-25</v>
      </c>
      <c r="K94" s="107" t="str">
        <f t="shared" si="7"/>
        <v>FY 2025-26</v>
      </c>
      <c r="L94" s="107" t="str">
        <f t="shared" si="7"/>
        <v>FY 2026-27</v>
      </c>
      <c r="M94" s="107" t="str">
        <f t="shared" si="7"/>
        <v>FY 2027-28</v>
      </c>
      <c r="N94" s="107" t="str">
        <f t="shared" si="7"/>
        <v>FY 2028-29</v>
      </c>
      <c r="O94" s="107" t="str">
        <f t="shared" si="7"/>
        <v>FY 2029-30</v>
      </c>
      <c r="P94" s="107" t="str">
        <f t="shared" si="7"/>
        <v>FY 2030-31</v>
      </c>
      <c r="Q94" s="107" t="str">
        <f t="shared" si="7"/>
        <v>FY 2031-32</v>
      </c>
      <c r="R94" s="107" t="str">
        <f t="shared" si="7"/>
        <v>FY 2032-33</v>
      </c>
      <c r="S94" s="107" t="str">
        <f t="shared" si="7"/>
        <v>FY 2033-34</v>
      </c>
      <c r="T94" s="107" t="str">
        <f t="shared" si="7"/>
        <v>FY 2034-35</v>
      </c>
      <c r="U94" s="107" t="str">
        <f t="shared" si="7"/>
        <v>FY 2035-36</v>
      </c>
      <c r="V94" s="107" t="str">
        <f t="shared" si="7"/>
        <v>FY 2036-37</v>
      </c>
      <c r="W94" s="107" t="str">
        <f t="shared" si="7"/>
        <v>FY 2037-38</v>
      </c>
      <c r="X94" s="107" t="str">
        <f t="shared" si="7"/>
        <v>FY 2038-39</v>
      </c>
      <c r="Y94" s="107" t="str">
        <f t="shared" si="7"/>
        <v>FY 2039-40</v>
      </c>
      <c r="Z94" s="107" t="str">
        <f t="shared" si="7"/>
        <v>FY 2040-41</v>
      </c>
      <c r="AA94" s="107" t="str">
        <f t="shared" si="7"/>
        <v>FY 2041-42</v>
      </c>
      <c r="AB94" s="107" t="str">
        <f t="shared" si="7"/>
        <v>FY 2042-43</v>
      </c>
      <c r="AC94" s="107" t="str">
        <f t="shared" si="7"/>
        <v>FY 2043-44</v>
      </c>
      <c r="AD94" s="107" t="str">
        <f t="shared" si="7"/>
        <v>FY 2044-45</v>
      </c>
      <c r="AE94" s="107" t="str">
        <f t="shared" si="7"/>
        <v>FY 2045-46</v>
      </c>
      <c r="AF94" s="107" t="str">
        <f t="shared" si="7"/>
        <v>FY 2046-47</v>
      </c>
      <c r="AG94" s="107" t="str">
        <f t="shared" si="7"/>
        <v>FY 2047-48</v>
      </c>
      <c r="AH94" s="107" t="str">
        <f t="shared" si="7"/>
        <v>FY 2048-49</v>
      </c>
    </row>
    <row r="95" spans="2:34" ht="13" x14ac:dyDescent="0.3">
      <c r="B95" s="122" t="str">
        <f>B64</f>
        <v>Involuntary load shedding</v>
      </c>
      <c r="C95" s="122"/>
      <c r="D95" s="123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</row>
    <row r="96" spans="2:34" x14ac:dyDescent="0.25">
      <c r="B96" s="114" t="str">
        <f>'Option inputs'!$C$15</f>
        <v>Option 1A</v>
      </c>
      <c r="C96" s="163" t="s">
        <v>35</v>
      </c>
      <c r="D96" s="123">
        <f>NPV(DiscountRate_ACTIVE,E96:AH96)/(1+DiscountRate_ACTIVE)^(FirstYear-BaseYear-2)*'Option inputs'!$F$15</f>
        <v>6776426.0058996119</v>
      </c>
      <c r="E96" s="106">
        <f>('CBA Inputs'!F$58-'CBA Inputs'!F59)*E$14</f>
        <v>0</v>
      </c>
      <c r="F96" s="106">
        <f>('CBA Inputs'!G$58-'CBA Inputs'!G59)*F$14</f>
        <v>-21.8353038020432</v>
      </c>
      <c r="G96" s="106">
        <f>('CBA Inputs'!H$58-'CBA Inputs'!H59)*G$14</f>
        <v>-13.355060137808323</v>
      </c>
      <c r="H96" s="106">
        <f>('CBA Inputs'!I$58-'CBA Inputs'!I59)*H$14</f>
        <v>3203422.3080667332</v>
      </c>
      <c r="I96" s="106">
        <f>('CBA Inputs'!J$58-'CBA Inputs'!J59)*I$14</f>
        <v>-1030198.3288596403</v>
      </c>
      <c r="J96" s="106">
        <f>('CBA Inputs'!K$58-'CBA Inputs'!K59)*J$14</f>
        <v>1447633.8399096802</v>
      </c>
      <c r="K96" s="106">
        <f>('CBA Inputs'!L$58-'CBA Inputs'!L59)*K$14</f>
        <v>2401294.8034064323</v>
      </c>
      <c r="L96" s="106">
        <f>('CBA Inputs'!M$58-'CBA Inputs'!M59)*L$14</f>
        <v>1166324.3027268508</v>
      </c>
      <c r="M96" s="106">
        <f>('CBA Inputs'!N$58-'CBA Inputs'!N59)*M$14</f>
        <v>1434810.661963325</v>
      </c>
      <c r="N96" s="106">
        <f>('CBA Inputs'!O$58-'CBA Inputs'!O59)*N$14</f>
        <v>-10952864.630444378</v>
      </c>
      <c r="O96" s="106">
        <f>('CBA Inputs'!P$58-'CBA Inputs'!P59)*O$14</f>
        <v>-314908.24198464584</v>
      </c>
      <c r="P96" s="106">
        <f>('CBA Inputs'!Q$58-'CBA Inputs'!Q59)*P$14</f>
        <v>7.5373041945292814</v>
      </c>
      <c r="Q96" s="106">
        <f>('CBA Inputs'!R$58-'CBA Inputs'!R59)*Q$14</f>
        <v>760996.7991322726</v>
      </c>
      <c r="R96" s="106">
        <f>('CBA Inputs'!S$58-'CBA Inputs'!S59)*R$14</f>
        <v>-1453671.1038950905</v>
      </c>
      <c r="S96" s="106">
        <f>('CBA Inputs'!T$58-'CBA Inputs'!T59)*S$14</f>
        <v>501451.81085582078</v>
      </c>
      <c r="T96" s="106">
        <f>('CBA Inputs'!U$58-'CBA Inputs'!U59)*T$14</f>
        <v>-266817.77259390289</v>
      </c>
      <c r="U96" s="106">
        <f>('CBA Inputs'!V$58-'CBA Inputs'!V59)*U$14</f>
        <v>6953095.8222247958</v>
      </c>
      <c r="V96" s="106">
        <f>('CBA Inputs'!W$58-'CBA Inputs'!W59)*V$14</f>
        <v>84697.434182081022</v>
      </c>
      <c r="W96" s="106">
        <f>('CBA Inputs'!X$58-'CBA Inputs'!X59)*W$14</f>
        <v>6506526.9879969358</v>
      </c>
      <c r="X96" s="106">
        <f>('CBA Inputs'!Y$58-'CBA Inputs'!Y59)*X$14</f>
        <v>2192017.7779188352</v>
      </c>
      <c r="Y96" s="106">
        <f>('CBA Inputs'!Z$58-'CBA Inputs'!Z59)*Y$14</f>
        <v>-25653.655966029502</v>
      </c>
      <c r="Z96" s="106">
        <f>('CBA Inputs'!AA$58-'CBA Inputs'!AA59)*Z$14</f>
        <v>-110915.4317766875</v>
      </c>
      <c r="AA96" s="106">
        <f>('CBA Inputs'!AB$58-'CBA Inputs'!AB59)*AA$14</f>
        <v>-181127.51843079366</v>
      </c>
      <c r="AB96" s="106">
        <f>('CBA Inputs'!AC$58-'CBA Inputs'!AC59)*AB$14</f>
        <v>3672639.4702585191</v>
      </c>
      <c r="AC96" s="106">
        <f>('CBA Inputs'!AD$58-'CBA Inputs'!AD59)*AC$14</f>
        <v>784985.18597786129</v>
      </c>
      <c r="AD96" s="106">
        <f>('CBA Inputs'!AE$58-'CBA Inputs'!AE59)*AD$14</f>
        <v>16.271542965705457</v>
      </c>
      <c r="AE96" s="106">
        <f>('CBA Inputs'!AF$58-'CBA Inputs'!AF59)*AE$14</f>
        <v>0</v>
      </c>
      <c r="AF96" s="106">
        <f>('CBA Inputs'!AG$58-'CBA Inputs'!AG59)*AF$14</f>
        <v>0</v>
      </c>
      <c r="AG96" s="106">
        <f>('CBA Inputs'!AH$58-'CBA Inputs'!AH59)*AG$14</f>
        <v>0</v>
      </c>
      <c r="AH96" s="106">
        <f>('CBA Inputs'!AI$58-'CBA Inputs'!AI59)*AH$14</f>
        <v>0</v>
      </c>
    </row>
    <row r="97" spans="2:34" x14ac:dyDescent="0.25">
      <c r="B97" s="114" t="str">
        <f>'Option inputs'!$C$16</f>
        <v>Option 1B</v>
      </c>
      <c r="C97" s="163" t="s">
        <v>35</v>
      </c>
      <c r="D97" s="123">
        <f>NPV(DiscountRate_ACTIVE,E97:AH97)/(1+DiscountRate_ACTIVE)^(FirstYear-BaseYear-2)*'Option inputs'!$F$15</f>
        <v>1216215.1144045515</v>
      </c>
      <c r="E97" s="106">
        <f>('CBA Inputs'!F$58-'CBA Inputs'!F60)*E$14</f>
        <v>0</v>
      </c>
      <c r="F97" s="106">
        <f>('CBA Inputs'!G$58-'CBA Inputs'!G60)*F$14</f>
        <v>-21.841059339232743</v>
      </c>
      <c r="G97" s="106">
        <f>('CBA Inputs'!H$58-'CBA Inputs'!H60)*G$14</f>
        <v>-13.361154144629836</v>
      </c>
      <c r="H97" s="106">
        <f>('CBA Inputs'!I$58-'CBA Inputs'!I60)*H$14</f>
        <v>-93.828171782195568</v>
      </c>
      <c r="I97" s="106">
        <f>('CBA Inputs'!J$58-'CBA Inputs'!J60)*I$14</f>
        <v>4.507179131731391</v>
      </c>
      <c r="J97" s="106">
        <f>('CBA Inputs'!K$58-'CBA Inputs'!K60)*J$14</f>
        <v>0.89289084076881409</v>
      </c>
      <c r="K97" s="106">
        <f>('CBA Inputs'!L$58-'CBA Inputs'!L60)*K$14</f>
        <v>157494.46112236753</v>
      </c>
      <c r="L97" s="106">
        <f>('CBA Inputs'!M$58-'CBA Inputs'!M60)*L$14</f>
        <v>105895.07684597094</v>
      </c>
      <c r="M97" s="106">
        <f>('CBA Inputs'!N$58-'CBA Inputs'!N60)*M$14</f>
        <v>90733.156918128952</v>
      </c>
      <c r="N97" s="106">
        <f>('CBA Inputs'!O$58-'CBA Inputs'!O60)*N$14</f>
        <v>659113.6596545428</v>
      </c>
      <c r="O97" s="106">
        <f>('CBA Inputs'!P$58-'CBA Inputs'!P60)*O$14</f>
        <v>2144.0705117927864</v>
      </c>
      <c r="P97" s="106">
        <f>('CBA Inputs'!Q$58-'CBA Inputs'!Q60)*P$14</f>
        <v>7.5258488425963117</v>
      </c>
      <c r="Q97" s="106">
        <f>('CBA Inputs'!R$58-'CBA Inputs'!R60)*Q$14</f>
        <v>-55783.110973365605</v>
      </c>
      <c r="R97" s="106">
        <f>('CBA Inputs'!S$58-'CBA Inputs'!S60)*R$14</f>
        <v>-1105879.2075185962</v>
      </c>
      <c r="S97" s="106">
        <f>('CBA Inputs'!T$58-'CBA Inputs'!T60)*S$14</f>
        <v>-2097059.9848426655</v>
      </c>
      <c r="T97" s="106">
        <f>('CBA Inputs'!U$58-'CBA Inputs'!U60)*T$14</f>
        <v>-650906.8915099497</v>
      </c>
      <c r="U97" s="106">
        <f>('CBA Inputs'!V$58-'CBA Inputs'!V60)*U$14</f>
        <v>4961215.3703457266</v>
      </c>
      <c r="V97" s="106">
        <f>('CBA Inputs'!W$58-'CBA Inputs'!W60)*V$14</f>
        <v>7.955285912976251</v>
      </c>
      <c r="W97" s="106">
        <f>('CBA Inputs'!X$58-'CBA Inputs'!X60)*W$14</f>
        <v>2589019.0166489333</v>
      </c>
      <c r="X97" s="106">
        <f>('CBA Inputs'!Y$58-'CBA Inputs'!Y60)*X$14</f>
        <v>275335.33927416615</v>
      </c>
      <c r="Y97" s="106">
        <f>('CBA Inputs'!Z$58-'CBA Inputs'!Z60)*Y$14</f>
        <v>85390.768801487517</v>
      </c>
      <c r="Z97" s="106">
        <f>('CBA Inputs'!AA$58-'CBA Inputs'!AA60)*Z$14</f>
        <v>-1720120.1885224059</v>
      </c>
      <c r="AA97" s="106">
        <f>('CBA Inputs'!AB$58-'CBA Inputs'!AB60)*AA$14</f>
        <v>-1996825.8314468786</v>
      </c>
      <c r="AB97" s="106">
        <f>('CBA Inputs'!AC$58-'CBA Inputs'!AC60)*AB$14</f>
        <v>1056047.2684808075</v>
      </c>
      <c r="AC97" s="106">
        <f>('CBA Inputs'!AD$58-'CBA Inputs'!AD60)*AC$14</f>
        <v>223715.54333616793</v>
      </c>
      <c r="AD97" s="106">
        <f>('CBA Inputs'!AE$58-'CBA Inputs'!AE60)*AD$14</f>
        <v>16.246840290134401</v>
      </c>
      <c r="AE97" s="106">
        <f>('CBA Inputs'!AF$58-'CBA Inputs'!AF60)*AE$14</f>
        <v>0</v>
      </c>
      <c r="AF97" s="106">
        <f>('CBA Inputs'!AG$58-'CBA Inputs'!AG60)*AF$14</f>
        <v>0</v>
      </c>
      <c r="AG97" s="106">
        <f>('CBA Inputs'!AH$58-'CBA Inputs'!AH60)*AG$14</f>
        <v>0</v>
      </c>
      <c r="AH97" s="106">
        <f>('CBA Inputs'!AI$58-'CBA Inputs'!AI60)*AH$14</f>
        <v>0</v>
      </c>
    </row>
    <row r="98" spans="2:34" x14ac:dyDescent="0.25">
      <c r="B98" s="114" t="str">
        <f>'Option inputs'!$C$17</f>
        <v>Option 1C</v>
      </c>
      <c r="C98" s="163" t="s">
        <v>35</v>
      </c>
      <c r="D98" s="123">
        <f>NPV(DiscountRate_ACTIVE,E98:AH98)/(1+DiscountRate_ACTIVE)^(FirstYear-BaseYear-2)*'Option inputs'!$F$15</f>
        <v>4650599.5077566141</v>
      </c>
      <c r="E98" s="106">
        <f>('CBA Inputs'!F$58-'CBA Inputs'!F61)*E$14</f>
        <v>0</v>
      </c>
      <c r="F98" s="106">
        <f>('CBA Inputs'!G$58-'CBA Inputs'!G61)*F$14</f>
        <v>-20.951149525120854</v>
      </c>
      <c r="G98" s="106">
        <f>('CBA Inputs'!H$58-'CBA Inputs'!H61)*G$14</f>
        <v>-13.504187962040305</v>
      </c>
      <c r="H98" s="106">
        <f>('CBA Inputs'!I$58-'CBA Inputs'!I61)*H$14</f>
        <v>3294974.4054557383</v>
      </c>
      <c r="I98" s="106">
        <f>('CBA Inputs'!J$58-'CBA Inputs'!J61)*I$14</f>
        <v>-969488.55400561355</v>
      </c>
      <c r="J98" s="106">
        <f>('CBA Inputs'!K$58-'CBA Inputs'!K61)*J$14</f>
        <v>1447633.662720833</v>
      </c>
      <c r="K98" s="106">
        <f>('CBA Inputs'!L$58-'CBA Inputs'!L61)*K$14</f>
        <v>2401294.6157703698</v>
      </c>
      <c r="L98" s="106">
        <f>('CBA Inputs'!M$58-'CBA Inputs'!M61)*L$14</f>
        <v>1166324.1041675387</v>
      </c>
      <c r="M98" s="106">
        <f>('CBA Inputs'!N$58-'CBA Inputs'!N61)*M$14</f>
        <v>1434810.4511553012</v>
      </c>
      <c r="N98" s="106">
        <f>('CBA Inputs'!O$58-'CBA Inputs'!O61)*N$14</f>
        <v>-12628625.982172832</v>
      </c>
      <c r="O98" s="106">
        <f>('CBA Inputs'!P$58-'CBA Inputs'!P61)*O$14</f>
        <v>-354906.71887851227</v>
      </c>
      <c r="P98" s="106">
        <f>('CBA Inputs'!Q$58-'CBA Inputs'!Q61)*P$14</f>
        <v>7.2571723842550524</v>
      </c>
      <c r="Q98" s="106">
        <f>('CBA Inputs'!R$58-'CBA Inputs'!R61)*Q$14</f>
        <v>685013.87504599243</v>
      </c>
      <c r="R98" s="106">
        <f>('CBA Inputs'!S$58-'CBA Inputs'!S61)*R$14</f>
        <v>-516039.87015512213</v>
      </c>
      <c r="S98" s="106">
        <f>('CBA Inputs'!T$58-'CBA Inputs'!T61)*S$14</f>
        <v>850480.16428485513</v>
      </c>
      <c r="T98" s="106">
        <f>('CBA Inputs'!U$58-'CBA Inputs'!U61)*T$14</f>
        <v>-266818.08257215517</v>
      </c>
      <c r="U98" s="106">
        <f>('CBA Inputs'!V$58-'CBA Inputs'!V61)*U$14</f>
        <v>4074280.553268902</v>
      </c>
      <c r="V98" s="106">
        <f>('CBA Inputs'!W$58-'CBA Inputs'!W61)*V$14</f>
        <v>84697.04474425051</v>
      </c>
      <c r="W98" s="106">
        <f>('CBA Inputs'!X$58-'CBA Inputs'!X61)*W$14</f>
        <v>2064566.490081165</v>
      </c>
      <c r="X98" s="106">
        <f>('CBA Inputs'!Y$58-'CBA Inputs'!Y61)*X$14</f>
        <v>3039531.5864587389</v>
      </c>
      <c r="Y98" s="106">
        <f>('CBA Inputs'!Z$58-'CBA Inputs'!Z61)*Y$14</f>
        <v>713199.99695394328</v>
      </c>
      <c r="Z98" s="106">
        <f>('CBA Inputs'!AA$58-'CBA Inputs'!AA61)*Z$14</f>
        <v>785552.03029798716</v>
      </c>
      <c r="AA98" s="106">
        <f>('CBA Inputs'!AB$58-'CBA Inputs'!AB61)*AA$14</f>
        <v>2051731.3890091442</v>
      </c>
      <c r="AB98" s="106">
        <f>('CBA Inputs'!AC$58-'CBA Inputs'!AC61)*AB$14</f>
        <v>1243600.3428208381</v>
      </c>
      <c r="AC98" s="106">
        <f>('CBA Inputs'!AD$58-'CBA Inputs'!AD61)*AC$14</f>
        <v>1927120.3299122453</v>
      </c>
      <c r="AD98" s="106">
        <f>('CBA Inputs'!AE$58-'CBA Inputs'!AE61)*AD$14</f>
        <v>15.666819660647024</v>
      </c>
      <c r="AE98" s="106">
        <f>('CBA Inputs'!AF$58-'CBA Inputs'!AF61)*AE$14</f>
        <v>0</v>
      </c>
      <c r="AF98" s="106">
        <f>('CBA Inputs'!AG$58-'CBA Inputs'!AG61)*AF$14</f>
        <v>0</v>
      </c>
      <c r="AG98" s="106">
        <f>('CBA Inputs'!AH$58-'CBA Inputs'!AH61)*AG$14</f>
        <v>0</v>
      </c>
      <c r="AH98" s="106">
        <f>('CBA Inputs'!AI$58-'CBA Inputs'!AI61)*AH$14</f>
        <v>0</v>
      </c>
    </row>
    <row r="99" spans="2:34" x14ac:dyDescent="0.25">
      <c r="B99" s="114" t="str">
        <f>'Option inputs'!$C$18</f>
        <v>Option 1D</v>
      </c>
      <c r="C99" s="163" t="s">
        <v>35</v>
      </c>
      <c r="D99" s="123">
        <f>NPV(DiscountRate_ACTIVE,E99:AH99)/(1+DiscountRate_ACTIVE)^(FirstYear-BaseYear-2)*'Option inputs'!$F$15</f>
        <v>1525.5359087470665</v>
      </c>
      <c r="E99" s="106">
        <f>('CBA Inputs'!F$58-'CBA Inputs'!F62)*E$14</f>
        <v>0</v>
      </c>
      <c r="F99" s="106">
        <f>('CBA Inputs'!G$58-'CBA Inputs'!G62)*F$14</f>
        <v>-21.834051843732595</v>
      </c>
      <c r="G99" s="106">
        <f>('CBA Inputs'!H$58-'CBA Inputs'!H62)*G$14</f>
        <v>-13.353734586387873</v>
      </c>
      <c r="H99" s="106">
        <f>('CBA Inputs'!I$58-'CBA Inputs'!I62)*H$14</f>
        <v>450442.76825267822</v>
      </c>
      <c r="I99" s="106">
        <f>('CBA Inputs'!J$58-'CBA Inputs'!J62)*I$14</f>
        <v>-999393.54908058979</v>
      </c>
      <c r="J99" s="106">
        <f>('CBA Inputs'!K$58-'CBA Inputs'!K62)*J$14</f>
        <v>363279.19423083216</v>
      </c>
      <c r="K99" s="106">
        <f>('CBA Inputs'!L$58-'CBA Inputs'!L62)*K$14</f>
        <v>488001.35955678672</v>
      </c>
      <c r="L99" s="106">
        <f>('CBA Inputs'!M$58-'CBA Inputs'!M62)*L$14</f>
        <v>-131011.90460570529</v>
      </c>
      <c r="M99" s="106">
        <f>('CBA Inputs'!N$58-'CBA Inputs'!N62)*M$14</f>
        <v>1102173.0447946731</v>
      </c>
      <c r="N99" s="106">
        <f>('CBA Inputs'!O$58-'CBA Inputs'!O62)*N$14</f>
        <v>-5207610.0726502091</v>
      </c>
      <c r="O99" s="106">
        <f>('CBA Inputs'!P$58-'CBA Inputs'!P62)*O$14</f>
        <v>542325.96284245979</v>
      </c>
      <c r="P99" s="106">
        <f>('CBA Inputs'!Q$58-'CBA Inputs'!Q62)*P$14</f>
        <v>7.5397865583359911</v>
      </c>
      <c r="Q99" s="106">
        <f>('CBA Inputs'!R$58-'CBA Inputs'!R62)*Q$14</f>
        <v>-1078654.7463046834</v>
      </c>
      <c r="R99" s="106">
        <f>('CBA Inputs'!S$58-'CBA Inputs'!S62)*R$14</f>
        <v>234445.27339802682</v>
      </c>
      <c r="S99" s="106">
        <f>('CBA Inputs'!T$58-'CBA Inputs'!T62)*S$14</f>
        <v>-234700.65343475342</v>
      </c>
      <c r="T99" s="106">
        <f>('CBA Inputs'!U$58-'CBA Inputs'!U62)*T$14</f>
        <v>-266872.65818599937</v>
      </c>
      <c r="U99" s="106">
        <f>('CBA Inputs'!V$58-'CBA Inputs'!V62)*U$14</f>
        <v>570530.66573403031</v>
      </c>
      <c r="V99" s="106">
        <f>('CBA Inputs'!W$58-'CBA Inputs'!W62)*V$14</f>
        <v>-2.1175138963881182</v>
      </c>
      <c r="W99" s="106">
        <f>('CBA Inputs'!X$58-'CBA Inputs'!X62)*W$14</f>
        <v>2961344.4568762258</v>
      </c>
      <c r="X99" s="106">
        <f>('CBA Inputs'!Y$58-'CBA Inputs'!Y62)*X$14</f>
        <v>1906344.5860344106</v>
      </c>
      <c r="Y99" s="106">
        <f>('CBA Inputs'!Z$58-'CBA Inputs'!Z62)*Y$14</f>
        <v>-421382.07628770266</v>
      </c>
      <c r="Z99" s="106">
        <f>('CBA Inputs'!AA$58-'CBA Inputs'!AA62)*Z$14</f>
        <v>1394184.9440587759</v>
      </c>
      <c r="AA99" s="106">
        <f>('CBA Inputs'!AB$58-'CBA Inputs'!AB62)*AA$14</f>
        <v>1226246.6484912522</v>
      </c>
      <c r="AB99" s="106">
        <f>('CBA Inputs'!AC$58-'CBA Inputs'!AC62)*AB$14</f>
        <v>-135217.35993631184</v>
      </c>
      <c r="AC99" s="106">
        <f>('CBA Inputs'!AD$58-'CBA Inputs'!AD62)*AC$14</f>
        <v>477361.73217590153</v>
      </c>
      <c r="AD99" s="106">
        <f>('CBA Inputs'!AE$58-'CBA Inputs'!AE62)*AD$14</f>
        <v>16.27693907215129</v>
      </c>
      <c r="AE99" s="106">
        <f>('CBA Inputs'!AF$58-'CBA Inputs'!AF62)*AE$14</f>
        <v>0</v>
      </c>
      <c r="AF99" s="106">
        <f>('CBA Inputs'!AG$58-'CBA Inputs'!AG62)*AF$14</f>
        <v>0</v>
      </c>
      <c r="AG99" s="106">
        <f>('CBA Inputs'!AH$58-'CBA Inputs'!AH62)*AG$14</f>
        <v>0</v>
      </c>
      <c r="AH99" s="106">
        <f>('CBA Inputs'!AI$58-'CBA Inputs'!AI62)*AH$14</f>
        <v>0</v>
      </c>
    </row>
    <row r="100" spans="2:34" x14ac:dyDescent="0.25">
      <c r="B100" s="114"/>
      <c r="C100" s="114"/>
      <c r="D100" s="123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</row>
    <row r="101" spans="2:34" ht="13" x14ac:dyDescent="0.3">
      <c r="B101" s="122" t="str">
        <f>B70</f>
        <v>Difference in timing of unrelated expenditure</v>
      </c>
      <c r="C101" s="122"/>
      <c r="D101" s="123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106"/>
      <c r="AH101" s="106"/>
    </row>
    <row r="102" spans="2:34" x14ac:dyDescent="0.25">
      <c r="B102" s="114" t="str">
        <f>'Option inputs'!$C$15</f>
        <v>Option 1A</v>
      </c>
      <c r="C102" s="163" t="s">
        <v>35</v>
      </c>
      <c r="D102" s="123">
        <f>NPV(DiscountRate_ACTIVE,E102:AH102)/(1+DiscountRate_ACTIVE)^(FirstYear-BaseYear-2)*'Option inputs'!$F$15</f>
        <v>9312442.8615150265</v>
      </c>
      <c r="E102" s="106">
        <f>('CBA Inputs'!F$88-'CBA Inputs'!F89)*E$14</f>
        <v>0</v>
      </c>
      <c r="F102" s="106">
        <f>('CBA Inputs'!G$88-'CBA Inputs'!G89)*F$14</f>
        <v>51.447241197338229</v>
      </c>
      <c r="G102" s="106">
        <f>('CBA Inputs'!H$88-'CBA Inputs'!H89)*G$14</f>
        <v>1.7481779049659001</v>
      </c>
      <c r="H102" s="106">
        <f>('CBA Inputs'!I$88-'CBA Inputs'!I89)*H$14</f>
        <v>6.0559439649458122</v>
      </c>
      <c r="I102" s="106">
        <f>('CBA Inputs'!J$88-'CBA Inputs'!J89)*I$14</f>
        <v>1.9516991307177236</v>
      </c>
      <c r="J102" s="106">
        <f>('CBA Inputs'!K$88-'CBA Inputs'!K89)*J$14</f>
        <v>2.5437491426821253</v>
      </c>
      <c r="K102" s="106">
        <f>('CBA Inputs'!L$88-'CBA Inputs'!L89)*K$14</f>
        <v>3.7097207213373311</v>
      </c>
      <c r="L102" s="106">
        <f>('CBA Inputs'!M$88-'CBA Inputs'!M89)*L$14</f>
        <v>3.4742101867053528</v>
      </c>
      <c r="M102" s="106">
        <f>('CBA Inputs'!N$88-'CBA Inputs'!N89)*M$14</f>
        <v>2.5922700408404817</v>
      </c>
      <c r="N102" s="106">
        <f>('CBA Inputs'!O$88-'CBA Inputs'!O89)*N$14</f>
        <v>14.989431323465748</v>
      </c>
      <c r="O102" s="106">
        <f>('CBA Inputs'!P$88-'CBA Inputs'!P89)*O$14</f>
        <v>20.556397543968384</v>
      </c>
      <c r="P102" s="106">
        <f>('CBA Inputs'!Q$88-'CBA Inputs'!Q89)*P$14</f>
        <v>1.2848196561629632</v>
      </c>
      <c r="Q102" s="106">
        <f>('CBA Inputs'!R$88-'CBA Inputs'!R89)*Q$14</f>
        <v>0.74281716936877917</v>
      </c>
      <c r="R102" s="106">
        <f>('CBA Inputs'!S$88-'CBA Inputs'!S89)*R$14</f>
        <v>6.8959656592939362</v>
      </c>
      <c r="S102" s="106">
        <f>('CBA Inputs'!T$88-'CBA Inputs'!T89)*S$14</f>
        <v>7.4136008145963812</v>
      </c>
      <c r="T102" s="106">
        <f>('CBA Inputs'!U$88-'CBA Inputs'!U89)*T$14</f>
        <v>1.1560013730792802</v>
      </c>
      <c r="U102" s="106">
        <f>('CBA Inputs'!V$88-'CBA Inputs'!V89)*U$14</f>
        <v>40715486.497149467</v>
      </c>
      <c r="V102" s="106">
        <f>('CBA Inputs'!W$88-'CBA Inputs'!W89)*V$14</f>
        <v>-3176357.2878240347</v>
      </c>
      <c r="W102" s="106">
        <f>('CBA Inputs'!X$88-'CBA Inputs'!X89)*W$14</f>
        <v>-10453921.437902933</v>
      </c>
      <c r="X102" s="106">
        <f>('CBA Inputs'!Y$88-'CBA Inputs'!Y89)*X$14</f>
        <v>5224271.5055959225</v>
      </c>
      <c r="Y102" s="106">
        <f>('CBA Inputs'!Z$88-'CBA Inputs'!Z89)*Y$14</f>
        <v>-4485329.8484307528</v>
      </c>
      <c r="Z102" s="106">
        <f>('CBA Inputs'!AA$88-'CBA Inputs'!AA89)*Z$14</f>
        <v>-4819596.3700735867</v>
      </c>
      <c r="AA102" s="106">
        <f>('CBA Inputs'!AB$88-'CBA Inputs'!AB89)*AA$14</f>
        <v>-2139174.6645336375</v>
      </c>
      <c r="AB102" s="106">
        <f>('CBA Inputs'!AC$88-'CBA Inputs'!AC89)*AB$14</f>
        <v>2.5260290619180275</v>
      </c>
      <c r="AC102" s="106">
        <f>('CBA Inputs'!AD$88-'CBA Inputs'!AD89)*AC$14</f>
        <v>-2472942.4599510133</v>
      </c>
      <c r="AD102" s="106">
        <f>('CBA Inputs'!AE$88-'CBA Inputs'!AE89)*AD$14</f>
        <v>-879294.92573674081</v>
      </c>
      <c r="AE102" s="106">
        <f>('CBA Inputs'!AF$88-'CBA Inputs'!AF89)*AE$14</f>
        <v>0</v>
      </c>
      <c r="AF102" s="106">
        <f>('CBA Inputs'!AG$88-'CBA Inputs'!AG89)*AF$14</f>
        <v>0</v>
      </c>
      <c r="AG102" s="106">
        <f>('CBA Inputs'!AH$88-'CBA Inputs'!AH89)*AG$14</f>
        <v>0</v>
      </c>
      <c r="AH102" s="106">
        <f>('CBA Inputs'!AI$88-'CBA Inputs'!AI89)*AH$14</f>
        <v>0</v>
      </c>
    </row>
    <row r="103" spans="2:34" x14ac:dyDescent="0.25">
      <c r="B103" s="114" t="str">
        <f>'Option inputs'!$C$16</f>
        <v>Option 1B</v>
      </c>
      <c r="C103" s="163" t="s">
        <v>35</v>
      </c>
      <c r="D103" s="123">
        <f>NPV(DiscountRate_ACTIVE,E103:AH103)/(1+DiscountRate_ACTIVE)^(FirstYear-BaseYear-2)*'Option inputs'!$F$15</f>
        <v>2902103.0336725041</v>
      </c>
      <c r="E103" s="106">
        <f>('CBA Inputs'!F$88-'CBA Inputs'!F90)*E$14</f>
        <v>0</v>
      </c>
      <c r="F103" s="106">
        <f>('CBA Inputs'!G$88-'CBA Inputs'!G90)*F$14</f>
        <v>51.369906100957294</v>
      </c>
      <c r="G103" s="106">
        <f>('CBA Inputs'!H$88-'CBA Inputs'!H90)*G$14</f>
        <v>1.7481779049659001</v>
      </c>
      <c r="H103" s="106">
        <f>('CBA Inputs'!I$88-'CBA Inputs'!I90)*H$14</f>
        <v>6.0482927792176246</v>
      </c>
      <c r="I103" s="106">
        <f>('CBA Inputs'!J$88-'CBA Inputs'!J90)*I$14</f>
        <v>1.9516991307177236</v>
      </c>
      <c r="J103" s="106">
        <f>('CBA Inputs'!K$88-'CBA Inputs'!K90)*J$14</f>
        <v>2.5437491426821253</v>
      </c>
      <c r="K103" s="106">
        <f>('CBA Inputs'!L$88-'CBA Inputs'!L90)*K$14</f>
        <v>3.7085270458791184</v>
      </c>
      <c r="L103" s="106">
        <f>('CBA Inputs'!M$88-'CBA Inputs'!M90)*L$14</f>
        <v>3.4733697511971116</v>
      </c>
      <c r="M103" s="106">
        <f>('CBA Inputs'!N$88-'CBA Inputs'!N90)*M$14</f>
        <v>2.5922700408404817</v>
      </c>
      <c r="N103" s="106">
        <f>('CBA Inputs'!O$88-'CBA Inputs'!O90)*N$14</f>
        <v>14.95138056355429</v>
      </c>
      <c r="O103" s="106">
        <f>('CBA Inputs'!P$88-'CBA Inputs'!P90)*O$14</f>
        <v>20.508950650118255</v>
      </c>
      <c r="P103" s="106">
        <f>('CBA Inputs'!Q$88-'CBA Inputs'!Q90)*P$14</f>
        <v>1.2848196561629632</v>
      </c>
      <c r="Q103" s="106">
        <f>('CBA Inputs'!R$88-'CBA Inputs'!R90)*Q$14</f>
        <v>0.74281716936877917</v>
      </c>
      <c r="R103" s="106">
        <f>('CBA Inputs'!S$88-'CBA Inputs'!S90)*R$14</f>
        <v>6.8825921412137827</v>
      </c>
      <c r="S103" s="106">
        <f>('CBA Inputs'!T$88-'CBA Inputs'!T90)*S$14</f>
        <v>7.3667246806675228</v>
      </c>
      <c r="T103" s="106">
        <f>('CBA Inputs'!U$88-'CBA Inputs'!U90)*T$14</f>
        <v>1.1802924231287018</v>
      </c>
      <c r="U103" s="106">
        <f>('CBA Inputs'!V$88-'CBA Inputs'!V90)*U$14</f>
        <v>33796017.800413668</v>
      </c>
      <c r="V103" s="106">
        <f>('CBA Inputs'!W$88-'CBA Inputs'!W90)*V$14</f>
        <v>-375233.48806935549</v>
      </c>
      <c r="W103" s="106">
        <f>('CBA Inputs'!X$88-'CBA Inputs'!X90)*W$14</f>
        <v>-18832522.555610664</v>
      </c>
      <c r="X103" s="106">
        <f>('CBA Inputs'!Y$88-'CBA Inputs'!Y90)*X$14</f>
        <v>-688427.43087696284</v>
      </c>
      <c r="Y103" s="106">
        <f>('CBA Inputs'!Z$88-'CBA Inputs'!Z90)*Y$14</f>
        <v>1201681.4291196615</v>
      </c>
      <c r="Z103" s="106">
        <f>('CBA Inputs'!AA$88-'CBA Inputs'!AA90)*Z$14</f>
        <v>-116076.88513849676</v>
      </c>
      <c r="AA103" s="106">
        <f>('CBA Inputs'!AB$88-'CBA Inputs'!AB90)*AA$14</f>
        <v>-13571660.055132054</v>
      </c>
      <c r="AB103" s="106">
        <f>('CBA Inputs'!AC$88-'CBA Inputs'!AC90)*AB$14</f>
        <v>2.5215655386612728</v>
      </c>
      <c r="AC103" s="106">
        <f>('CBA Inputs'!AD$88-'CBA Inputs'!AD90)*AC$14</f>
        <v>21103.872828304768</v>
      </c>
      <c r="AD103" s="106">
        <f>('CBA Inputs'!AE$88-'CBA Inputs'!AE90)*AD$14</f>
        <v>-791114.45297949959</v>
      </c>
      <c r="AE103" s="106">
        <f>('CBA Inputs'!AF$88-'CBA Inputs'!AF90)*AE$14</f>
        <v>0</v>
      </c>
      <c r="AF103" s="106">
        <f>('CBA Inputs'!AG$88-'CBA Inputs'!AG90)*AF$14</f>
        <v>0</v>
      </c>
      <c r="AG103" s="106">
        <f>('CBA Inputs'!AH$88-'CBA Inputs'!AH90)*AG$14</f>
        <v>0</v>
      </c>
      <c r="AH103" s="106">
        <f>('CBA Inputs'!AI$88-'CBA Inputs'!AI90)*AH$14</f>
        <v>0</v>
      </c>
    </row>
    <row r="104" spans="2:34" x14ac:dyDescent="0.25">
      <c r="B104" s="114" t="str">
        <f>'Option inputs'!$C$17</f>
        <v>Option 1C</v>
      </c>
      <c r="C104" s="163" t="s">
        <v>35</v>
      </c>
      <c r="D104" s="123">
        <f>NPV(DiscountRate_ACTIVE,E104:AH104)/(1+DiscountRate_ACTIVE)^(FirstYear-BaseYear-2)*'Option inputs'!$F$15</f>
        <v>853687.53357999504</v>
      </c>
      <c r="E104" s="106">
        <f>('CBA Inputs'!F$88-'CBA Inputs'!F91)*E$14</f>
        <v>0</v>
      </c>
      <c r="F104" s="106">
        <f>('CBA Inputs'!G$88-'CBA Inputs'!G91)*F$14</f>
        <v>49.535822622597557</v>
      </c>
      <c r="G104" s="106">
        <f>('CBA Inputs'!H$88-'CBA Inputs'!H91)*G$14</f>
        <v>1.7481779049659001</v>
      </c>
      <c r="H104" s="106">
        <f>('CBA Inputs'!I$88-'CBA Inputs'!I91)*H$14</f>
        <v>5.8718041594530659</v>
      </c>
      <c r="I104" s="106">
        <f>('CBA Inputs'!J$88-'CBA Inputs'!J91)*I$14</f>
        <v>1.9516991307177236</v>
      </c>
      <c r="J104" s="106">
        <f>('CBA Inputs'!K$88-'CBA Inputs'!K91)*J$14</f>
        <v>2.4759518163213148</v>
      </c>
      <c r="K104" s="106">
        <f>('CBA Inputs'!L$88-'CBA Inputs'!L91)*K$14</f>
        <v>3.4212582435228982</v>
      </c>
      <c r="L104" s="106">
        <f>('CBA Inputs'!M$88-'CBA Inputs'!M91)*L$14</f>
        <v>3.3752983686190516</v>
      </c>
      <c r="M104" s="106">
        <f>('CBA Inputs'!N$88-'CBA Inputs'!N91)*M$14</f>
        <v>2.5607179868531489</v>
      </c>
      <c r="N104" s="106">
        <f>('CBA Inputs'!O$88-'CBA Inputs'!O91)*N$14</f>
        <v>14.393282580329011</v>
      </c>
      <c r="O104" s="106">
        <f>('CBA Inputs'!P$88-'CBA Inputs'!P91)*O$14</f>
        <v>19.832071996847912</v>
      </c>
      <c r="P104" s="106">
        <f>('CBA Inputs'!Q$88-'CBA Inputs'!Q91)*P$14</f>
        <v>1.1746716066029981</v>
      </c>
      <c r="Q104" s="106">
        <f>('CBA Inputs'!R$88-'CBA Inputs'!R91)*Q$14</f>
        <v>0.74281716936877917</v>
      </c>
      <c r="R104" s="106">
        <f>('CBA Inputs'!S$88-'CBA Inputs'!S91)*R$14</f>
        <v>6.6387946799957476</v>
      </c>
      <c r="S104" s="106">
        <f>('CBA Inputs'!T$88-'CBA Inputs'!T91)*S$14</f>
        <v>7.1644813902321687</v>
      </c>
      <c r="T104" s="106">
        <f>('CBA Inputs'!U$88-'CBA Inputs'!U91)*T$14</f>
        <v>1.1192233149768605</v>
      </c>
      <c r="U104" s="106">
        <f>('CBA Inputs'!V$88-'CBA Inputs'!V91)*U$14</f>
        <v>-826407.14265820384</v>
      </c>
      <c r="V104" s="106">
        <f>('CBA Inputs'!W$88-'CBA Inputs'!W91)*V$14</f>
        <v>-1271017.1832880676</v>
      </c>
      <c r="W104" s="106">
        <f>('CBA Inputs'!X$88-'CBA Inputs'!X91)*W$14</f>
        <v>1063775.112184355</v>
      </c>
      <c r="X104" s="106">
        <f>('CBA Inputs'!Y$88-'CBA Inputs'!Y91)*X$14</f>
        <v>4110461.1801846093</v>
      </c>
      <c r="Y104" s="106">
        <f>('CBA Inputs'!Z$88-'CBA Inputs'!Z91)*Y$14</f>
        <v>-4562711.4927492738</v>
      </c>
      <c r="Z104" s="106">
        <f>('CBA Inputs'!AA$88-'CBA Inputs'!AA91)*Z$14</f>
        <v>-1788941.9722723216</v>
      </c>
      <c r="AA104" s="106">
        <f>('CBA Inputs'!AB$88-'CBA Inputs'!AB91)*AA$14</f>
        <v>6378553.2446512654</v>
      </c>
      <c r="AB104" s="106">
        <f>('CBA Inputs'!AC$88-'CBA Inputs'!AC91)*AB$14</f>
        <v>2.4393804590449917</v>
      </c>
      <c r="AC104" s="106">
        <f>('CBA Inputs'!AD$88-'CBA Inputs'!AD91)*AC$14</f>
        <v>371702.79479081929</v>
      </c>
      <c r="AD104" s="106">
        <f>('CBA Inputs'!AE$88-'CBA Inputs'!AE91)*AD$14</f>
        <v>-255084.90015817084</v>
      </c>
      <c r="AE104" s="106">
        <f>('CBA Inputs'!AF$88-'CBA Inputs'!AF91)*AE$14</f>
        <v>0</v>
      </c>
      <c r="AF104" s="106">
        <f>('CBA Inputs'!AG$88-'CBA Inputs'!AG91)*AF$14</f>
        <v>0</v>
      </c>
      <c r="AG104" s="106">
        <f>('CBA Inputs'!AH$88-'CBA Inputs'!AH91)*AG$14</f>
        <v>0</v>
      </c>
      <c r="AH104" s="106">
        <f>('CBA Inputs'!AI$88-'CBA Inputs'!AI91)*AH$14</f>
        <v>0</v>
      </c>
    </row>
    <row r="105" spans="2:34" x14ac:dyDescent="0.25">
      <c r="B105" s="114" t="str">
        <f>'Option inputs'!$C$18</f>
        <v>Option 1D</v>
      </c>
      <c r="C105" s="163" t="s">
        <v>35</v>
      </c>
      <c r="D105" s="123">
        <f>NPV(DiscountRate_ACTIVE,E105:AH105)/(1+DiscountRate_ACTIVE)^(FirstYear-BaseYear-2)*'Option inputs'!$F$15</f>
        <v>697356.3366772671</v>
      </c>
      <c r="E105" s="106">
        <f>('CBA Inputs'!F$88-'CBA Inputs'!F92)*E$14</f>
        <v>0</v>
      </c>
      <c r="F105" s="106">
        <f>('CBA Inputs'!G$88-'CBA Inputs'!G92)*F$14</f>
        <v>51.463949105669656</v>
      </c>
      <c r="G105" s="106">
        <f>('CBA Inputs'!H$88-'CBA Inputs'!H92)*G$14</f>
        <v>1.7481779049659001</v>
      </c>
      <c r="H105" s="106">
        <f>('CBA Inputs'!I$88-'CBA Inputs'!I92)*H$14</f>
        <v>6.0488721300140655</v>
      </c>
      <c r="I105" s="106">
        <f>('CBA Inputs'!J$88-'CBA Inputs'!J92)*I$14</f>
        <v>1.9516991307177236</v>
      </c>
      <c r="J105" s="106">
        <f>('CBA Inputs'!K$88-'CBA Inputs'!K92)*J$14</f>
        <v>2.5437491426821253</v>
      </c>
      <c r="K105" s="106">
        <f>('CBA Inputs'!L$88-'CBA Inputs'!L92)*K$14</f>
        <v>3.7094639197821024</v>
      </c>
      <c r="L105" s="106">
        <f>('CBA Inputs'!M$88-'CBA Inputs'!M92)*L$14</f>
        <v>3.4745338828329984</v>
      </c>
      <c r="M105" s="106">
        <f>('CBA Inputs'!N$88-'CBA Inputs'!N92)*M$14</f>
        <v>2.5922700408404817</v>
      </c>
      <c r="N105" s="106">
        <f>('CBA Inputs'!O$88-'CBA Inputs'!O92)*N$14</f>
        <v>14.976501723995121</v>
      </c>
      <c r="O105" s="106">
        <f>('CBA Inputs'!P$88-'CBA Inputs'!P92)*O$14</f>
        <v>20.557078560580518</v>
      </c>
      <c r="P105" s="106">
        <f>('CBA Inputs'!Q$88-'CBA Inputs'!Q92)*P$14</f>
        <v>1.2848196561629632</v>
      </c>
      <c r="Q105" s="106">
        <f>('CBA Inputs'!R$88-'CBA Inputs'!R92)*Q$14</f>
        <v>0.74281716936877917</v>
      </c>
      <c r="R105" s="106">
        <f>('CBA Inputs'!S$88-'CBA Inputs'!S92)*R$14</f>
        <v>6.8941354023581169</v>
      </c>
      <c r="S105" s="106">
        <f>('CBA Inputs'!T$88-'CBA Inputs'!T92)*S$14</f>
        <v>7.3975913370594579</v>
      </c>
      <c r="T105" s="106">
        <f>('CBA Inputs'!U$88-'CBA Inputs'!U92)*T$14</f>
        <v>1.1808132798302584</v>
      </c>
      <c r="U105" s="106">
        <f>('CBA Inputs'!V$88-'CBA Inputs'!V92)*U$14</f>
        <v>2365393.8198934793</v>
      </c>
      <c r="V105" s="106">
        <f>('CBA Inputs'!W$88-'CBA Inputs'!W92)*V$14</f>
        <v>-2326936.8332251608</v>
      </c>
      <c r="W105" s="106">
        <f>('CBA Inputs'!X$88-'CBA Inputs'!X92)*W$14</f>
        <v>928305.16204964742</v>
      </c>
      <c r="X105" s="106">
        <f>('CBA Inputs'!Y$88-'CBA Inputs'!Y92)*X$14</f>
        <v>2379625.6245743483</v>
      </c>
      <c r="Y105" s="106">
        <f>('CBA Inputs'!Z$88-'CBA Inputs'!Z92)*Y$14</f>
        <v>-4208799.2084857523</v>
      </c>
      <c r="Z105" s="106">
        <f>('CBA Inputs'!AA$88-'CBA Inputs'!AA92)*Z$14</f>
        <v>-1884523.0374454707</v>
      </c>
      <c r="AA105" s="106">
        <f>('CBA Inputs'!AB$88-'CBA Inputs'!AB92)*AA$14</f>
        <v>4316572.9622815102</v>
      </c>
      <c r="AB105" s="106">
        <f>('CBA Inputs'!AC$88-'CBA Inputs'!AC92)*AB$14</f>
        <v>2.525645032279245</v>
      </c>
      <c r="AC105" s="106">
        <f>('CBA Inputs'!AD$88-'CBA Inputs'!AD92)*AC$14</f>
        <v>909847.81245242059</v>
      </c>
      <c r="AD105" s="106">
        <f>('CBA Inputs'!AE$88-'CBA Inputs'!AE92)*AD$14</f>
        <v>-378893.54792548297</v>
      </c>
      <c r="AE105" s="106">
        <f>('CBA Inputs'!AF$88-'CBA Inputs'!AF92)*AE$14</f>
        <v>0</v>
      </c>
      <c r="AF105" s="106">
        <f>('CBA Inputs'!AG$88-'CBA Inputs'!AG92)*AF$14</f>
        <v>0</v>
      </c>
      <c r="AG105" s="106">
        <f>('CBA Inputs'!AH$88-'CBA Inputs'!AH92)*AG$14</f>
        <v>0</v>
      </c>
      <c r="AH105" s="106">
        <f>('CBA Inputs'!AI$88-'CBA Inputs'!AI92)*AH$14</f>
        <v>0</v>
      </c>
    </row>
    <row r="106" spans="2:34" x14ac:dyDescent="0.25">
      <c r="B106" s="114"/>
      <c r="C106" s="114"/>
      <c r="D106" s="123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</row>
    <row r="107" spans="2:34" ht="13" x14ac:dyDescent="0.3">
      <c r="B107" s="122" t="str">
        <f>B76</f>
        <v xml:space="preserve">Fuel consumption from generation dispatch </v>
      </c>
      <c r="C107" s="122"/>
      <c r="D107" s="123"/>
      <c r="E107" s="106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</row>
    <row r="108" spans="2:34" x14ac:dyDescent="0.25">
      <c r="B108" s="114" t="str">
        <f>'Option inputs'!$C$15</f>
        <v>Option 1A</v>
      </c>
      <c r="C108" s="163" t="s">
        <v>35</v>
      </c>
      <c r="D108" s="123">
        <f>NPV(DiscountRate_ACTIVE,E108:AH108)/(1+DiscountRate_ACTIVE)^(FirstYear-BaseYear-2)*'Option inputs'!$F$15</f>
        <v>58799352.849063903</v>
      </c>
      <c r="E108" s="106">
        <f>('CBA Inputs'!F$118-'CBA Inputs'!F119)*E$14</f>
        <v>0</v>
      </c>
      <c r="F108" s="106">
        <f>('CBA Inputs'!G$118-'CBA Inputs'!G119)*F$14</f>
        <v>6.5379595756530762</v>
      </c>
      <c r="G108" s="106">
        <f>('CBA Inputs'!H$118-'CBA Inputs'!H119)*G$14</f>
        <v>-14634.744348526001</v>
      </c>
      <c r="H108" s="106">
        <f>('CBA Inputs'!I$118-'CBA Inputs'!I119)*H$14</f>
        <v>4240185.399020195</v>
      </c>
      <c r="I108" s="106">
        <f>('CBA Inputs'!J$118-'CBA Inputs'!J119)*I$14</f>
        <v>3911946.7438850403</v>
      </c>
      <c r="J108" s="106">
        <f>('CBA Inputs'!K$118-'CBA Inputs'!K119)*J$14</f>
        <v>4480419.7468147278</v>
      </c>
      <c r="K108" s="106">
        <f>('CBA Inputs'!L$118-'CBA Inputs'!L119)*K$14</f>
        <v>4070540.5043673515</v>
      </c>
      <c r="L108" s="106">
        <f>('CBA Inputs'!M$118-'CBA Inputs'!M119)*L$14</f>
        <v>5125764.3149199486</v>
      </c>
      <c r="M108" s="106">
        <f>('CBA Inputs'!N$118-'CBA Inputs'!N119)*M$14</f>
        <v>5776020.8584432602</v>
      </c>
      <c r="N108" s="106">
        <f>('CBA Inputs'!O$118-'CBA Inputs'!O119)*N$14</f>
        <v>2646546.7581176758</v>
      </c>
      <c r="O108" s="106">
        <f>('CBA Inputs'!P$118-'CBA Inputs'!P119)*O$14</f>
        <v>-1167078.2443933487</v>
      </c>
      <c r="P108" s="106">
        <f>('CBA Inputs'!Q$118-'CBA Inputs'!Q119)*P$14</f>
        <v>-2100083.5098059177</v>
      </c>
      <c r="Q108" s="106">
        <f>('CBA Inputs'!R$118-'CBA Inputs'!R119)*Q$14</f>
        <v>-1125943.6956117153</v>
      </c>
      <c r="R108" s="106">
        <f>('CBA Inputs'!S$118-'CBA Inputs'!S119)*R$14</f>
        <v>2032898.9376058578</v>
      </c>
      <c r="S108" s="106">
        <f>('CBA Inputs'!T$118-'CBA Inputs'!T119)*S$14</f>
        <v>6369576.9542329311</v>
      </c>
      <c r="T108" s="106">
        <f>('CBA Inputs'!U$118-'CBA Inputs'!U119)*T$14</f>
        <v>1681643.9149911404</v>
      </c>
      <c r="U108" s="106">
        <f>('CBA Inputs'!V$118-'CBA Inputs'!V119)*U$14</f>
        <v>1316092.9838972092</v>
      </c>
      <c r="V108" s="106">
        <f>('CBA Inputs'!W$118-'CBA Inputs'!W119)*V$14</f>
        <v>-8855743.8738076687</v>
      </c>
      <c r="W108" s="106">
        <f>('CBA Inputs'!X$118-'CBA Inputs'!X119)*W$14</f>
        <v>21396638.762179852</v>
      </c>
      <c r="X108" s="106">
        <f>('CBA Inputs'!Y$118-'CBA Inputs'!Y119)*X$14</f>
        <v>7610024.6067769527</v>
      </c>
      <c r="Y108" s="106">
        <f>('CBA Inputs'!Z$118-'CBA Inputs'!Z119)*Y$14</f>
        <v>15444001.022275925</v>
      </c>
      <c r="Z108" s="106">
        <f>('CBA Inputs'!AA$118-'CBA Inputs'!AA119)*Z$14</f>
        <v>9950279.9618868828</v>
      </c>
      <c r="AA108" s="106">
        <f>('CBA Inputs'!AB$118-'CBA Inputs'!AB119)*AA$14</f>
        <v>16968043.535603523</v>
      </c>
      <c r="AB108" s="106">
        <f>('CBA Inputs'!AC$118-'CBA Inputs'!AC119)*AB$14</f>
        <v>16125888.850661993</v>
      </c>
      <c r="AC108" s="106">
        <f>('CBA Inputs'!AD$118-'CBA Inputs'!AD119)*AC$14</f>
        <v>19249940.911969185</v>
      </c>
      <c r="AD108" s="106">
        <f>('CBA Inputs'!AE$118-'CBA Inputs'!AE119)*AD$14</f>
        <v>10506366.248457909</v>
      </c>
      <c r="AE108" s="106">
        <f>('CBA Inputs'!AF$118-'CBA Inputs'!AF119)*AE$14</f>
        <v>0</v>
      </c>
      <c r="AF108" s="106">
        <f>('CBA Inputs'!AG$118-'CBA Inputs'!AG119)*AF$14</f>
        <v>0</v>
      </c>
      <c r="AG108" s="106">
        <f>('CBA Inputs'!AH$118-'CBA Inputs'!AH119)*AG$14</f>
        <v>0</v>
      </c>
      <c r="AH108" s="106">
        <f>('CBA Inputs'!AI$118-'CBA Inputs'!AI119)*AH$14</f>
        <v>0</v>
      </c>
    </row>
    <row r="109" spans="2:34" x14ac:dyDescent="0.25">
      <c r="B109" s="114" t="str">
        <f>'Option inputs'!$C$16</f>
        <v>Option 1B</v>
      </c>
      <c r="C109" s="163" t="s">
        <v>35</v>
      </c>
      <c r="D109" s="123">
        <f>NPV(DiscountRate_ACTIVE,E109:AH109)/(1+DiscountRate_ACTIVE)^(FirstYear-BaseYear-2)*'Option inputs'!$F$15</f>
        <v>96441769.403781801</v>
      </c>
      <c r="E109" s="106">
        <f>('CBA Inputs'!F$118-'CBA Inputs'!F120)*E$14</f>
        <v>0</v>
      </c>
      <c r="F109" s="106">
        <f>('CBA Inputs'!G$118-'CBA Inputs'!G120)*F$14</f>
        <v>-3.7901210784912109</v>
      </c>
      <c r="G109" s="106">
        <f>('CBA Inputs'!H$118-'CBA Inputs'!H120)*G$14</f>
        <v>-7485.8547034263611</v>
      </c>
      <c r="H109" s="106">
        <f>('CBA Inputs'!I$118-'CBA Inputs'!I120)*H$14</f>
        <v>4151700.5237693787</v>
      </c>
      <c r="I109" s="106">
        <f>('CBA Inputs'!J$118-'CBA Inputs'!J120)*I$14</f>
        <v>3326605.6496009827</v>
      </c>
      <c r="J109" s="106">
        <f>('CBA Inputs'!K$118-'CBA Inputs'!K120)*J$14</f>
        <v>3785912.721704483</v>
      </c>
      <c r="K109" s="106">
        <f>('CBA Inputs'!L$118-'CBA Inputs'!L120)*K$14</f>
        <v>3561365.9672279358</v>
      </c>
      <c r="L109" s="106">
        <f>('CBA Inputs'!M$118-'CBA Inputs'!M120)*L$14</f>
        <v>4160950.6382498741</v>
      </c>
      <c r="M109" s="106">
        <f>('CBA Inputs'!N$118-'CBA Inputs'!N120)*M$14</f>
        <v>4091568.3029441833</v>
      </c>
      <c r="N109" s="106">
        <f>('CBA Inputs'!O$118-'CBA Inputs'!O120)*N$14</f>
        <v>2970269.6863367558</v>
      </c>
      <c r="O109" s="106">
        <f>('CBA Inputs'!P$118-'CBA Inputs'!P120)*O$14</f>
        <v>2360473.4108858109</v>
      </c>
      <c r="P109" s="106">
        <f>('CBA Inputs'!Q$118-'CBA Inputs'!Q120)*P$14</f>
        <v>2147119.3266942501</v>
      </c>
      <c r="Q109" s="106">
        <f>('CBA Inputs'!R$118-'CBA Inputs'!R120)*Q$14</f>
        <v>2509804.1081767082</v>
      </c>
      <c r="R109" s="106">
        <f>('CBA Inputs'!S$118-'CBA Inputs'!S120)*R$14</f>
        <v>2196462.6268734932</v>
      </c>
      <c r="S109" s="106">
        <f>('CBA Inputs'!T$118-'CBA Inputs'!T120)*S$14</f>
        <v>976552.65712428093</v>
      </c>
      <c r="T109" s="106">
        <f>('CBA Inputs'!U$118-'CBA Inputs'!U120)*T$14</f>
        <v>953652.08176755905</v>
      </c>
      <c r="U109" s="106">
        <f>('CBA Inputs'!V$118-'CBA Inputs'!V120)*U$14</f>
        <v>3978418.2302162647</v>
      </c>
      <c r="V109" s="106">
        <f>('CBA Inputs'!W$118-'CBA Inputs'!W120)*V$14</f>
        <v>410202.22594857216</v>
      </c>
      <c r="W109" s="106">
        <f>('CBA Inputs'!X$118-'CBA Inputs'!X120)*W$14</f>
        <v>30539031.074542522</v>
      </c>
      <c r="X109" s="106">
        <f>('CBA Inputs'!Y$118-'CBA Inputs'!Y120)*X$14</f>
        <v>28624366.304119587</v>
      </c>
      <c r="Y109" s="106">
        <f>('CBA Inputs'!Z$118-'CBA Inputs'!Z120)*Y$14</f>
        <v>27195975.698119164</v>
      </c>
      <c r="Z109" s="106">
        <f>('CBA Inputs'!AA$118-'CBA Inputs'!AA120)*Z$14</f>
        <v>15807390.387693882</v>
      </c>
      <c r="AA109" s="106">
        <f>('CBA Inputs'!AB$118-'CBA Inputs'!AB120)*AA$14</f>
        <v>28833286.359438896</v>
      </c>
      <c r="AB109" s="106">
        <f>('CBA Inputs'!AC$118-'CBA Inputs'!AC120)*AB$14</f>
        <v>30195383.011586666</v>
      </c>
      <c r="AC109" s="106">
        <f>('CBA Inputs'!AD$118-'CBA Inputs'!AD120)*AC$14</f>
        <v>34796571.268412113</v>
      </c>
      <c r="AD109" s="106">
        <f>('CBA Inputs'!AE$118-'CBA Inputs'!AE120)*AD$14</f>
        <v>25658848.834114552</v>
      </c>
      <c r="AE109" s="106">
        <f>('CBA Inputs'!AF$118-'CBA Inputs'!AF120)*AE$14</f>
        <v>0</v>
      </c>
      <c r="AF109" s="106">
        <f>('CBA Inputs'!AG$118-'CBA Inputs'!AG120)*AF$14</f>
        <v>0</v>
      </c>
      <c r="AG109" s="106">
        <f>('CBA Inputs'!AH$118-'CBA Inputs'!AH120)*AG$14</f>
        <v>0</v>
      </c>
      <c r="AH109" s="106">
        <f>('CBA Inputs'!AI$118-'CBA Inputs'!AI120)*AH$14</f>
        <v>0</v>
      </c>
    </row>
    <row r="110" spans="2:34" x14ac:dyDescent="0.25">
      <c r="B110" s="114" t="str">
        <f>'Option inputs'!$C$17</f>
        <v>Option 1C</v>
      </c>
      <c r="C110" s="163" t="s">
        <v>35</v>
      </c>
      <c r="D110" s="123">
        <f>NPV(DiscountRate_ACTIVE,E110:AH110)/(1+DiscountRate_ACTIVE)^(FirstYear-BaseYear-2)*'Option inputs'!$F$15</f>
        <v>-41021351.455087334</v>
      </c>
      <c r="E110" s="106">
        <f>('CBA Inputs'!F$118-'CBA Inputs'!F121)*E$14</f>
        <v>0</v>
      </c>
      <c r="F110" s="106">
        <f>('CBA Inputs'!G$118-'CBA Inputs'!G121)*F$14</f>
        <v>11.593338489532471</v>
      </c>
      <c r="G110" s="106">
        <f>('CBA Inputs'!H$118-'CBA Inputs'!H121)*G$14</f>
        <v>3858.5906543731689</v>
      </c>
      <c r="H110" s="106">
        <f>('CBA Inputs'!I$118-'CBA Inputs'!I121)*H$14</f>
        <v>69568.800336360931</v>
      </c>
      <c r="I110" s="106">
        <f>('CBA Inputs'!J$118-'CBA Inputs'!J121)*I$14</f>
        <v>619218.59397172928</v>
      </c>
      <c r="J110" s="106">
        <f>('CBA Inputs'!K$118-'CBA Inputs'!K121)*J$14</f>
        <v>640120.8475985527</v>
      </c>
      <c r="K110" s="106">
        <f>('CBA Inputs'!L$118-'CBA Inputs'!L121)*K$14</f>
        <v>476403.13874816895</v>
      </c>
      <c r="L110" s="106">
        <f>('CBA Inputs'!M$118-'CBA Inputs'!M121)*L$14</f>
        <v>885634.4869222641</v>
      </c>
      <c r="M110" s="106">
        <f>('CBA Inputs'!N$118-'CBA Inputs'!N121)*M$14</f>
        <v>1723075.3928704262</v>
      </c>
      <c r="N110" s="106">
        <f>('CBA Inputs'!O$118-'CBA Inputs'!O121)*N$14</f>
        <v>-2414477.3494567871</v>
      </c>
      <c r="O110" s="106">
        <f>('CBA Inputs'!P$118-'CBA Inputs'!P121)*O$14</f>
        <v>-5164674.4630279541</v>
      </c>
      <c r="P110" s="106">
        <f>('CBA Inputs'!Q$118-'CBA Inputs'!Q121)*P$14</f>
        <v>-5748718.2814846039</v>
      </c>
      <c r="Q110" s="106">
        <f>('CBA Inputs'!R$118-'CBA Inputs'!R121)*Q$14</f>
        <v>-5216470.881439209</v>
      </c>
      <c r="R110" s="106">
        <f>('CBA Inputs'!S$118-'CBA Inputs'!S121)*R$14</f>
        <v>-1165615.6233618259</v>
      </c>
      <c r="S110" s="106">
        <f>('CBA Inputs'!T$118-'CBA Inputs'!T121)*S$14</f>
        <v>3634497.878619194</v>
      </c>
      <c r="T110" s="106">
        <f>('CBA Inputs'!U$118-'CBA Inputs'!U121)*T$14</f>
        <v>-881517.25253033638</v>
      </c>
      <c r="U110" s="106">
        <f>('CBA Inputs'!V$118-'CBA Inputs'!V121)*U$14</f>
        <v>-4897441.6243431568</v>
      </c>
      <c r="V110" s="106">
        <f>('CBA Inputs'!W$118-'CBA Inputs'!W121)*V$14</f>
        <v>-8464878.8008234501</v>
      </c>
      <c r="W110" s="106">
        <f>('CBA Inputs'!X$118-'CBA Inputs'!X121)*W$14</f>
        <v>-7069372.1707081795</v>
      </c>
      <c r="X110" s="106">
        <f>('CBA Inputs'!Y$118-'CBA Inputs'!Y121)*X$14</f>
        <v>-14450352.664540052</v>
      </c>
      <c r="Y110" s="106">
        <f>('CBA Inputs'!Z$118-'CBA Inputs'!Z121)*Y$14</f>
        <v>-10550860.789221287</v>
      </c>
      <c r="Z110" s="106">
        <f>('CBA Inputs'!AA$118-'CBA Inputs'!AA121)*Z$14</f>
        <v>-10230239.124293327</v>
      </c>
      <c r="AA110" s="106">
        <f>('CBA Inputs'!AB$118-'CBA Inputs'!AB121)*AA$14</f>
        <v>-9936496.4306397438</v>
      </c>
      <c r="AB110" s="106">
        <f>('CBA Inputs'!AC$118-'CBA Inputs'!AC121)*AB$14</f>
        <v>-12041085.17069602</v>
      </c>
      <c r="AC110" s="106">
        <f>('CBA Inputs'!AD$118-'CBA Inputs'!AD121)*AC$14</f>
        <v>-11153747.212080002</v>
      </c>
      <c r="AD110" s="106">
        <f>('CBA Inputs'!AE$118-'CBA Inputs'!AE121)*AD$14</f>
        <v>-19487966.869578838</v>
      </c>
      <c r="AE110" s="106">
        <f>('CBA Inputs'!AF$118-'CBA Inputs'!AF121)*AE$14</f>
        <v>0</v>
      </c>
      <c r="AF110" s="106">
        <f>('CBA Inputs'!AG$118-'CBA Inputs'!AG121)*AF$14</f>
        <v>0</v>
      </c>
      <c r="AG110" s="106">
        <f>('CBA Inputs'!AH$118-'CBA Inputs'!AH121)*AG$14</f>
        <v>0</v>
      </c>
      <c r="AH110" s="106">
        <f>('CBA Inputs'!AI$118-'CBA Inputs'!AI121)*AH$14</f>
        <v>0</v>
      </c>
    </row>
    <row r="111" spans="2:34" x14ac:dyDescent="0.25">
      <c r="B111" s="114" t="str">
        <f>'Option inputs'!$C$18</f>
        <v>Option 1D</v>
      </c>
      <c r="C111" s="163" t="s">
        <v>35</v>
      </c>
      <c r="D111" s="123">
        <f>NPV(DiscountRate_ACTIVE,E111:AH111)/(1+DiscountRate_ACTIVE)^(FirstYear-BaseYear-2)*'Option inputs'!$F$15</f>
        <v>-27396666.928928148</v>
      </c>
      <c r="E111" s="106">
        <f>('CBA Inputs'!F$118-'CBA Inputs'!F122)*E$14</f>
        <v>0</v>
      </c>
      <c r="F111" s="106">
        <f>('CBA Inputs'!G$118-'CBA Inputs'!G122)*F$14</f>
        <v>12.684562683105469</v>
      </c>
      <c r="G111" s="106">
        <f>('CBA Inputs'!H$118-'CBA Inputs'!H122)*G$14</f>
        <v>3475.3269376754761</v>
      </c>
      <c r="H111" s="106">
        <f>('CBA Inputs'!I$118-'CBA Inputs'!I122)*H$14</f>
        <v>26669.348078727722</v>
      </c>
      <c r="I111" s="106">
        <f>('CBA Inputs'!J$118-'CBA Inputs'!J122)*I$14</f>
        <v>388531.33445549011</v>
      </c>
      <c r="J111" s="106">
        <f>('CBA Inputs'!K$118-'CBA Inputs'!K122)*J$14</f>
        <v>522513.63426303864</v>
      </c>
      <c r="K111" s="106">
        <f>('CBA Inputs'!L$118-'CBA Inputs'!L122)*K$14</f>
        <v>338003.34943389893</v>
      </c>
      <c r="L111" s="106">
        <f>('CBA Inputs'!M$118-'CBA Inputs'!M122)*L$14</f>
        <v>630974.31132888794</v>
      </c>
      <c r="M111" s="106">
        <f>('CBA Inputs'!N$118-'CBA Inputs'!N122)*M$14</f>
        <v>1317068.6005215645</v>
      </c>
      <c r="N111" s="106">
        <f>('CBA Inputs'!O$118-'CBA Inputs'!O122)*N$14</f>
        <v>-1580584.5024766922</v>
      </c>
      <c r="O111" s="106">
        <f>('CBA Inputs'!P$118-'CBA Inputs'!P122)*O$14</f>
        <v>-3458362.7064096928</v>
      </c>
      <c r="P111" s="106">
        <f>('CBA Inputs'!Q$118-'CBA Inputs'!Q122)*P$14</f>
        <v>-3786685.3892846107</v>
      </c>
      <c r="Q111" s="106">
        <f>('CBA Inputs'!R$118-'CBA Inputs'!R122)*Q$14</f>
        <v>-3454382.1882646084</v>
      </c>
      <c r="R111" s="106">
        <f>('CBA Inputs'!S$118-'CBA Inputs'!S122)*R$14</f>
        <v>-1107782.8897185326</v>
      </c>
      <c r="S111" s="106">
        <f>('CBA Inputs'!T$118-'CBA Inputs'!T122)*S$14</f>
        <v>490097.52566099167</v>
      </c>
      <c r="T111" s="106">
        <f>('CBA Inputs'!U$118-'CBA Inputs'!U122)*T$14</f>
        <v>-2073478.2381668091</v>
      </c>
      <c r="U111" s="106">
        <f>('CBA Inputs'!V$118-'CBA Inputs'!V122)*U$14</f>
        <v>-5070107.8398454189</v>
      </c>
      <c r="V111" s="106">
        <f>('CBA Inputs'!W$118-'CBA Inputs'!W122)*V$14</f>
        <v>-6688737.5498423576</v>
      </c>
      <c r="W111" s="106">
        <f>('CBA Inputs'!X$118-'CBA Inputs'!X122)*W$14</f>
        <v>-6379929.7585158348</v>
      </c>
      <c r="X111" s="106">
        <f>('CBA Inputs'!Y$118-'CBA Inputs'!Y122)*X$14</f>
        <v>-10336143.495620728</v>
      </c>
      <c r="Y111" s="106">
        <f>('CBA Inputs'!Z$118-'CBA Inputs'!Z122)*Y$14</f>
        <v>-5369035.5385222435</v>
      </c>
      <c r="Z111" s="106">
        <f>('CBA Inputs'!AA$118-'CBA Inputs'!AA122)*Z$14</f>
        <v>-6315998.2029004097</v>
      </c>
      <c r="AA111" s="106">
        <f>('CBA Inputs'!AB$118-'CBA Inputs'!AB122)*AA$14</f>
        <v>-3909571.9884405136</v>
      </c>
      <c r="AB111" s="106">
        <f>('CBA Inputs'!AC$118-'CBA Inputs'!AC122)*AB$14</f>
        <v>-4822865.1961474419</v>
      </c>
      <c r="AC111" s="106">
        <f>('CBA Inputs'!AD$118-'CBA Inputs'!AD122)*AC$14</f>
        <v>-3906341.3826851845</v>
      </c>
      <c r="AD111" s="106">
        <f>('CBA Inputs'!AE$118-'CBA Inputs'!AE122)*AD$14</f>
        <v>-12472418.709643364</v>
      </c>
      <c r="AE111" s="106">
        <f>('CBA Inputs'!AF$118-'CBA Inputs'!AF122)*AE$14</f>
        <v>0</v>
      </c>
      <c r="AF111" s="106">
        <f>('CBA Inputs'!AG$118-'CBA Inputs'!AG122)*AF$14</f>
        <v>0</v>
      </c>
      <c r="AG111" s="106">
        <f>('CBA Inputs'!AH$118-'CBA Inputs'!AH122)*AG$14</f>
        <v>0</v>
      </c>
      <c r="AH111" s="106">
        <f>('CBA Inputs'!AI$118-'CBA Inputs'!AI122)*AH$14</f>
        <v>0</v>
      </c>
    </row>
    <row r="112" spans="2:34" x14ac:dyDescent="0.25">
      <c r="B112" s="114"/>
      <c r="C112" s="114"/>
      <c r="D112" s="123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106"/>
      <c r="AD112" s="106"/>
      <c r="AE112" s="106"/>
      <c r="AF112" s="106"/>
      <c r="AG112" s="106"/>
      <c r="AH112" s="106"/>
    </row>
    <row r="113" spans="2:34" ht="13" x14ac:dyDescent="0.3">
      <c r="B113" s="122" t="str">
        <f>B82</f>
        <v xml:space="preserve">Voluntary load curtailment </v>
      </c>
      <c r="C113" s="122"/>
      <c r="D113" s="123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106"/>
      <c r="AD113" s="106"/>
      <c r="AE113" s="106"/>
      <c r="AF113" s="106"/>
      <c r="AG113" s="106"/>
      <c r="AH113" s="106"/>
    </row>
    <row r="114" spans="2:34" x14ac:dyDescent="0.25">
      <c r="B114" s="114" t="str">
        <f>'Option inputs'!$C$15</f>
        <v>Option 1A</v>
      </c>
      <c r="C114" s="163" t="s">
        <v>35</v>
      </c>
      <c r="D114" s="123">
        <f>NPV(DiscountRate_ACTIVE,E114:AH114)/(1+DiscountRate_ACTIVE)^(FirstYear-BaseYear-2)*'Option inputs'!$F$15</f>
        <v>-367204.03395151329</v>
      </c>
      <c r="E114" s="106">
        <f>('CBA Inputs'!F$148-'CBA Inputs'!F149)*E$14</f>
        <v>0</v>
      </c>
      <c r="F114" s="106">
        <f>('CBA Inputs'!G$148-'CBA Inputs'!G149)*F$14</f>
        <v>4.5651212384691462</v>
      </c>
      <c r="G114" s="106">
        <f>('CBA Inputs'!H$148-'CBA Inputs'!H149)*G$14</f>
        <v>4.8043544718602789</v>
      </c>
      <c r="H114" s="106">
        <f>('CBA Inputs'!I$148-'CBA Inputs'!I149)*H$14</f>
        <v>-6940.9532915083691</v>
      </c>
      <c r="I114" s="106">
        <f>('CBA Inputs'!J$148-'CBA Inputs'!J149)*I$14</f>
        <v>104609.00356253295</v>
      </c>
      <c r="J114" s="106">
        <f>('CBA Inputs'!K$148-'CBA Inputs'!K149)*J$14</f>
        <v>-11000.440134979668</v>
      </c>
      <c r="K114" s="106">
        <f>('CBA Inputs'!L$148-'CBA Inputs'!L149)*K$14</f>
        <v>21779.51511356025</v>
      </c>
      <c r="L114" s="106">
        <f>('CBA Inputs'!M$148-'CBA Inputs'!M149)*L$14</f>
        <v>-29252.869840389816</v>
      </c>
      <c r="M114" s="106">
        <f>('CBA Inputs'!N$148-'CBA Inputs'!N149)*M$14</f>
        <v>110512.6639576375</v>
      </c>
      <c r="N114" s="106">
        <f>('CBA Inputs'!O$148-'CBA Inputs'!O149)*N$14</f>
        <v>-160077.4152910891</v>
      </c>
      <c r="O114" s="106">
        <f>('CBA Inputs'!P$148-'CBA Inputs'!P149)*O$14</f>
        <v>-39153.609877694631</v>
      </c>
      <c r="P114" s="106">
        <f>('CBA Inputs'!Q$148-'CBA Inputs'!Q149)*P$14</f>
        <v>7.8887818896277722</v>
      </c>
      <c r="Q114" s="106">
        <f>('CBA Inputs'!R$148-'CBA Inputs'!R149)*Q$14</f>
        <v>-11764.569308258127</v>
      </c>
      <c r="R114" s="106">
        <f>('CBA Inputs'!S$148-'CBA Inputs'!S149)*R$14</f>
        <v>-187715.30674870871</v>
      </c>
      <c r="S114" s="106">
        <f>('CBA Inputs'!T$148-'CBA Inputs'!T149)*S$14</f>
        <v>-44534.605478698853</v>
      </c>
      <c r="T114" s="106">
        <f>('CBA Inputs'!U$148-'CBA Inputs'!U149)*T$14</f>
        <v>-41328.835359639255</v>
      </c>
      <c r="U114" s="106">
        <f>('CBA Inputs'!V$148-'CBA Inputs'!V149)*U$14</f>
        <v>196012.83500295691</v>
      </c>
      <c r="V114" s="106">
        <f>('CBA Inputs'!W$148-'CBA Inputs'!W149)*V$14</f>
        <v>-222851.36347131152</v>
      </c>
      <c r="W114" s="106">
        <f>('CBA Inputs'!X$148-'CBA Inputs'!X149)*W$14</f>
        <v>195548.88966305088</v>
      </c>
      <c r="X114" s="106">
        <f>('CBA Inputs'!Y$148-'CBA Inputs'!Y149)*X$14</f>
        <v>76230.113121226896</v>
      </c>
      <c r="Y114" s="106">
        <f>('CBA Inputs'!Z$148-'CBA Inputs'!Z149)*Y$14</f>
        <v>147696.78314167354</v>
      </c>
      <c r="Z114" s="106">
        <f>('CBA Inputs'!AA$148-'CBA Inputs'!AA149)*Z$14</f>
        <v>-237036.05773179885</v>
      </c>
      <c r="AA114" s="106">
        <f>('CBA Inputs'!AB$148-'CBA Inputs'!AB149)*AA$14</f>
        <v>-13825.760888224468</v>
      </c>
      <c r="AB114" s="106">
        <f>('CBA Inputs'!AC$148-'CBA Inputs'!AC149)*AB$14</f>
        <v>141607.93374394905</v>
      </c>
      <c r="AC114" s="106">
        <f>('CBA Inputs'!AD$148-'CBA Inputs'!AD149)*AC$14</f>
        <v>-1315966.436361664</v>
      </c>
      <c r="AD114" s="106">
        <f>('CBA Inputs'!AE$148-'CBA Inputs'!AE149)*AD$14</f>
        <v>6925.1493336918356</v>
      </c>
      <c r="AE114" s="106">
        <f>('CBA Inputs'!AF$148-'CBA Inputs'!AF149)*AE$14</f>
        <v>0</v>
      </c>
      <c r="AF114" s="106">
        <f>('CBA Inputs'!AG$148-'CBA Inputs'!AG149)*AF$14</f>
        <v>0</v>
      </c>
      <c r="AG114" s="106">
        <f>('CBA Inputs'!AH$148-'CBA Inputs'!AH149)*AG$14</f>
        <v>0</v>
      </c>
      <c r="AH114" s="106">
        <f>('CBA Inputs'!AI$148-'CBA Inputs'!AI149)*AH$14</f>
        <v>0</v>
      </c>
    </row>
    <row r="115" spans="2:34" x14ac:dyDescent="0.25">
      <c r="B115" s="114" t="str">
        <f>'Option inputs'!$C$16</f>
        <v>Option 1B</v>
      </c>
      <c r="C115" s="163" t="s">
        <v>35</v>
      </c>
      <c r="D115" s="123">
        <f>NPV(DiscountRate_ACTIVE,E115:AH115)/(1+DiscountRate_ACTIVE)^(FirstYear-BaseYear-2)*'Option inputs'!$F$15</f>
        <v>-449183.73239945289</v>
      </c>
      <c r="E115" s="106">
        <f>('CBA Inputs'!F$148-'CBA Inputs'!F150)*E$14</f>
        <v>0</v>
      </c>
      <c r="F115" s="106">
        <f>('CBA Inputs'!G$148-'CBA Inputs'!G150)*F$14</f>
        <v>4.5537981505913194</v>
      </c>
      <c r="G115" s="106">
        <f>('CBA Inputs'!H$148-'CBA Inputs'!H150)*G$14</f>
        <v>4.7974864278512541</v>
      </c>
      <c r="H115" s="106">
        <f>('CBA Inputs'!I$148-'CBA Inputs'!I150)*H$14</f>
        <v>4.8288099179044366</v>
      </c>
      <c r="I115" s="106">
        <f>('CBA Inputs'!J$148-'CBA Inputs'!J150)*I$14</f>
        <v>5.2995806173421443</v>
      </c>
      <c r="J115" s="106">
        <f>('CBA Inputs'!K$148-'CBA Inputs'!K150)*J$14</f>
        <v>5.6871772886952385</v>
      </c>
      <c r="K115" s="106">
        <f>('CBA Inputs'!L$148-'CBA Inputs'!L150)*K$14</f>
        <v>1568.9707195969531</v>
      </c>
      <c r="L115" s="106">
        <f>('CBA Inputs'!M$148-'CBA Inputs'!M150)*L$14</f>
        <v>3152.5107428462943</v>
      </c>
      <c r="M115" s="106">
        <f>('CBA Inputs'!N$148-'CBA Inputs'!N150)*M$14</f>
        <v>2887.1675418752711</v>
      </c>
      <c r="N115" s="106">
        <f>('CBA Inputs'!O$148-'CBA Inputs'!O150)*N$14</f>
        <v>8351.9834648566321</v>
      </c>
      <c r="O115" s="106">
        <f>('CBA Inputs'!P$148-'CBA Inputs'!P150)*O$14</f>
        <v>-6.557671737507917</v>
      </c>
      <c r="P115" s="106">
        <f>('CBA Inputs'!Q$148-'CBA Inputs'!Q150)*P$14</f>
        <v>7.8762987875642585</v>
      </c>
      <c r="Q115" s="106">
        <f>('CBA Inputs'!R$148-'CBA Inputs'!R150)*Q$14</f>
        <v>15059.853884766228</v>
      </c>
      <c r="R115" s="106">
        <f>('CBA Inputs'!S$148-'CBA Inputs'!S150)*R$14</f>
        <v>-24914.612193749286</v>
      </c>
      <c r="S115" s="106">
        <f>('CBA Inputs'!T$148-'CBA Inputs'!T150)*S$14</f>
        <v>-58031.952557781711</v>
      </c>
      <c r="T115" s="106">
        <f>('CBA Inputs'!U$148-'CBA Inputs'!U150)*T$14</f>
        <v>-11575.741366823437</v>
      </c>
      <c r="U115" s="106">
        <f>('CBA Inputs'!V$148-'CBA Inputs'!V150)*U$14</f>
        <v>56743.224082820117</v>
      </c>
      <c r="V115" s="106">
        <f>('CBA Inputs'!W$148-'CBA Inputs'!W150)*V$14</f>
        <v>-185469.56709882477</v>
      </c>
      <c r="W115" s="106">
        <f>('CBA Inputs'!X$148-'CBA Inputs'!X150)*W$14</f>
        <v>52650.461230586749</v>
      </c>
      <c r="X115" s="106">
        <f>('CBA Inputs'!Y$148-'CBA Inputs'!Y150)*X$14</f>
        <v>-140875.15635025175</v>
      </c>
      <c r="Y115" s="106">
        <f>('CBA Inputs'!Z$148-'CBA Inputs'!Z150)*Y$14</f>
        <v>599254.70010995772</v>
      </c>
      <c r="Z115" s="106">
        <f>('CBA Inputs'!AA$148-'CBA Inputs'!AA150)*Z$14</f>
        <v>-159476.44268854801</v>
      </c>
      <c r="AA115" s="106">
        <f>('CBA Inputs'!AB$148-'CBA Inputs'!AB150)*AA$14</f>
        <v>-98953.376424185932</v>
      </c>
      <c r="AB115" s="106">
        <f>('CBA Inputs'!AC$148-'CBA Inputs'!AC150)*AB$14</f>
        <v>-198390.40130807459</v>
      </c>
      <c r="AC115" s="106">
        <f>('CBA Inputs'!AD$148-'CBA Inputs'!AD150)*AC$14</f>
        <v>-1488369.958141353</v>
      </c>
      <c r="AD115" s="106">
        <f>('CBA Inputs'!AE$148-'CBA Inputs'!AE150)*AD$14</f>
        <v>-35730.032928741071</v>
      </c>
      <c r="AE115" s="106">
        <f>('CBA Inputs'!AF$148-'CBA Inputs'!AF150)*AE$14</f>
        <v>0</v>
      </c>
      <c r="AF115" s="106">
        <f>('CBA Inputs'!AG$148-'CBA Inputs'!AG150)*AF$14</f>
        <v>0</v>
      </c>
      <c r="AG115" s="106">
        <f>('CBA Inputs'!AH$148-'CBA Inputs'!AH150)*AG$14</f>
        <v>0</v>
      </c>
      <c r="AH115" s="106">
        <f>('CBA Inputs'!AI$148-'CBA Inputs'!AI150)*AH$14</f>
        <v>0</v>
      </c>
    </row>
    <row r="116" spans="2:34" x14ac:dyDescent="0.25">
      <c r="B116" s="114" t="str">
        <f>'Option inputs'!$C$17</f>
        <v>Option 1C</v>
      </c>
      <c r="C116" s="163" t="s">
        <v>35</v>
      </c>
      <c r="D116" s="123">
        <f>NPV(DiscountRate_ACTIVE,E116:AH116)/(1+DiscountRate_ACTIVE)^(FirstYear-BaseYear-2)*'Option inputs'!$F$15</f>
        <v>230603.04267177227</v>
      </c>
      <c r="E116" s="106">
        <f>('CBA Inputs'!F$148-'CBA Inputs'!F151)*E$14</f>
        <v>0</v>
      </c>
      <c r="F116" s="106">
        <f>('CBA Inputs'!G$148-'CBA Inputs'!G151)*F$14</f>
        <v>4.3857115719292779</v>
      </c>
      <c r="G116" s="106">
        <f>('CBA Inputs'!H$148-'CBA Inputs'!H151)*G$14</f>
        <v>4.6280154245105223</v>
      </c>
      <c r="H116" s="106">
        <f>('CBA Inputs'!I$148-'CBA Inputs'!I151)*H$14</f>
        <v>-28028.286746058846</v>
      </c>
      <c r="I116" s="106">
        <f>('CBA Inputs'!J$148-'CBA Inputs'!J151)*I$14</f>
        <v>69419.489713192102</v>
      </c>
      <c r="J116" s="106">
        <f>('CBA Inputs'!K$148-'CBA Inputs'!K151)*J$14</f>
        <v>-10986.299181910348</v>
      </c>
      <c r="K116" s="106">
        <f>('CBA Inputs'!L$148-'CBA Inputs'!L151)*K$14</f>
        <v>21779.302488020272</v>
      </c>
      <c r="L116" s="106">
        <f>('CBA Inputs'!M$148-'CBA Inputs'!M151)*L$14</f>
        <v>-29253.058735421509</v>
      </c>
      <c r="M116" s="106">
        <f>('CBA Inputs'!N$148-'CBA Inputs'!N151)*M$14</f>
        <v>110512.36102994403</v>
      </c>
      <c r="N116" s="106">
        <f>('CBA Inputs'!O$148-'CBA Inputs'!O151)*N$14</f>
        <v>-232151.68261566386</v>
      </c>
      <c r="O116" s="106">
        <f>('CBA Inputs'!P$148-'CBA Inputs'!P151)*O$14</f>
        <v>-41891.990023559192</v>
      </c>
      <c r="P116" s="106">
        <f>('CBA Inputs'!Q$148-'CBA Inputs'!Q151)*P$14</f>
        <v>7.5953245104863507</v>
      </c>
      <c r="Q116" s="106">
        <f>('CBA Inputs'!R$148-'CBA Inputs'!R151)*Q$14</f>
        <v>-56902.200018236064</v>
      </c>
      <c r="R116" s="106">
        <f>('CBA Inputs'!S$148-'CBA Inputs'!S151)*R$14</f>
        <v>-296796.92665347317</v>
      </c>
      <c r="S116" s="106">
        <f>('CBA Inputs'!T$148-'CBA Inputs'!T151)*S$14</f>
        <v>-49473.855716628488</v>
      </c>
      <c r="T116" s="106">
        <f>('CBA Inputs'!U$148-'CBA Inputs'!U151)*T$14</f>
        <v>-51265.945725191617</v>
      </c>
      <c r="U116" s="106">
        <f>('CBA Inputs'!V$148-'CBA Inputs'!V151)*U$14</f>
        <v>219642.99098452041</v>
      </c>
      <c r="V116" s="106">
        <f>('CBA Inputs'!W$148-'CBA Inputs'!W151)*V$14</f>
        <v>245468.60262417537</v>
      </c>
      <c r="W116" s="106">
        <f>('CBA Inputs'!X$148-'CBA Inputs'!X151)*W$14</f>
        <v>219409.65122354357</v>
      </c>
      <c r="X116" s="106">
        <f>('CBA Inputs'!Y$148-'CBA Inputs'!Y151)*X$14</f>
        <v>92206.52174788015</v>
      </c>
      <c r="Y116" s="106">
        <f>('CBA Inputs'!Z$148-'CBA Inputs'!Z151)*Y$14</f>
        <v>288167.42742133047</v>
      </c>
      <c r="Z116" s="106">
        <f>('CBA Inputs'!AA$148-'CBA Inputs'!AA151)*Z$14</f>
        <v>-230948.65682730079</v>
      </c>
      <c r="AA116" s="106">
        <f>('CBA Inputs'!AB$148-'CBA Inputs'!AB151)*AA$14</f>
        <v>44008.164118845947</v>
      </c>
      <c r="AB116" s="106">
        <f>('CBA Inputs'!AC$148-'CBA Inputs'!AC151)*AB$14</f>
        <v>283706.72078696173</v>
      </c>
      <c r="AC116" s="106">
        <f>('CBA Inputs'!AD$148-'CBA Inputs'!AD151)*AC$14</f>
        <v>366369.91934985574</v>
      </c>
      <c r="AD116" s="106">
        <f>('CBA Inputs'!AE$148-'CBA Inputs'!AE151)*AD$14</f>
        <v>47741.647180346787</v>
      </c>
      <c r="AE116" s="106">
        <f>('CBA Inputs'!AF$148-'CBA Inputs'!AF151)*AE$14</f>
        <v>0</v>
      </c>
      <c r="AF116" s="106">
        <f>('CBA Inputs'!AG$148-'CBA Inputs'!AG151)*AF$14</f>
        <v>0</v>
      </c>
      <c r="AG116" s="106">
        <f>('CBA Inputs'!AH$148-'CBA Inputs'!AH151)*AG$14</f>
        <v>0</v>
      </c>
      <c r="AH116" s="106">
        <f>('CBA Inputs'!AI$148-'CBA Inputs'!AI151)*AH$14</f>
        <v>0</v>
      </c>
    </row>
    <row r="117" spans="2:34" x14ac:dyDescent="0.25">
      <c r="B117" s="114" t="str">
        <f>'Option inputs'!$C$18</f>
        <v>Option 1D</v>
      </c>
      <c r="C117" s="163" t="s">
        <v>35</v>
      </c>
      <c r="D117" s="123">
        <f>NPV(DiscountRate_ACTIVE,E117:AH117)/(1+DiscountRate_ACTIVE)^(FirstYear-BaseYear-2)*'Option inputs'!$F$15</f>
        <v>-205072.57169838468</v>
      </c>
      <c r="E117" s="106">
        <f>('CBA Inputs'!F$148-'CBA Inputs'!F152)*E$14</f>
        <v>0</v>
      </c>
      <c r="F117" s="106">
        <f>('CBA Inputs'!G$148-'CBA Inputs'!G152)*F$14</f>
        <v>4.5683382583374623</v>
      </c>
      <c r="G117" s="106">
        <f>('CBA Inputs'!H$148-'CBA Inputs'!H152)*G$14</f>
        <v>4.8057504282187438</v>
      </c>
      <c r="H117" s="106">
        <f>('CBA Inputs'!I$148-'CBA Inputs'!I152)*H$14</f>
        <v>-23260.666224356042</v>
      </c>
      <c r="I117" s="106">
        <f>('CBA Inputs'!J$148-'CBA Inputs'!J152)*I$14</f>
        <v>-22078.409277448314</v>
      </c>
      <c r="J117" s="106">
        <f>('CBA Inputs'!K$148-'CBA Inputs'!K152)*J$14</f>
        <v>-31535.25231556443</v>
      </c>
      <c r="K117" s="106">
        <f>('CBA Inputs'!L$148-'CBA Inputs'!L152)*K$14</f>
        <v>8039.8913099985803</v>
      </c>
      <c r="L117" s="106">
        <f>('CBA Inputs'!M$148-'CBA Inputs'!M152)*L$14</f>
        <v>-31190.49722138606</v>
      </c>
      <c r="M117" s="106">
        <f>('CBA Inputs'!N$148-'CBA Inputs'!N152)*M$14</f>
        <v>23417.288883958245</v>
      </c>
      <c r="N117" s="106">
        <f>('CBA Inputs'!O$148-'CBA Inputs'!O152)*N$14</f>
        <v>-129684.95446768217</v>
      </c>
      <c r="O117" s="106">
        <f>('CBA Inputs'!P$148-'CBA Inputs'!P152)*O$14</f>
        <v>-5724.8328593288315</v>
      </c>
      <c r="P117" s="106">
        <f>('CBA Inputs'!Q$148-'CBA Inputs'!Q152)*P$14</f>
        <v>7.8908719190128966</v>
      </c>
      <c r="Q117" s="106">
        <f>('CBA Inputs'!R$148-'CBA Inputs'!R152)*Q$14</f>
        <v>-37975.638710934902</v>
      </c>
      <c r="R117" s="106">
        <f>('CBA Inputs'!S$148-'CBA Inputs'!S152)*R$14</f>
        <v>-233846.73868586868</v>
      </c>
      <c r="S117" s="106">
        <f>('CBA Inputs'!T$148-'CBA Inputs'!T152)*S$14</f>
        <v>-9609.7169505460188</v>
      </c>
      <c r="T117" s="106">
        <f>('CBA Inputs'!U$148-'CBA Inputs'!U152)*T$14</f>
        <v>570.27107837190852</v>
      </c>
      <c r="U117" s="106">
        <f>('CBA Inputs'!V$148-'CBA Inputs'!V152)*U$14</f>
        <v>62290.396308422089</v>
      </c>
      <c r="V117" s="106">
        <f>('CBA Inputs'!W$148-'CBA Inputs'!W152)*V$14</f>
        <v>58134.861969430931</v>
      </c>
      <c r="W117" s="106">
        <f>('CBA Inputs'!X$148-'CBA Inputs'!X152)*W$14</f>
        <v>161747.12725513102</v>
      </c>
      <c r="X117" s="106">
        <f>('CBA Inputs'!Y$148-'CBA Inputs'!Y152)*X$14</f>
        <v>71559.389419646934</v>
      </c>
      <c r="Y117" s="106">
        <f>('CBA Inputs'!Z$148-'CBA Inputs'!Z152)*Y$14</f>
        <v>-95594.164550052956</v>
      </c>
      <c r="Z117" s="106">
        <f>('CBA Inputs'!AA$148-'CBA Inputs'!AA152)*Z$14</f>
        <v>-128908.76438238006</v>
      </c>
      <c r="AA117" s="106">
        <f>('CBA Inputs'!AB$148-'CBA Inputs'!AB152)*AA$14</f>
        <v>-28743.73843466863</v>
      </c>
      <c r="AB117" s="106">
        <f>('CBA Inputs'!AC$148-'CBA Inputs'!AC152)*AB$14</f>
        <v>79243.825105625205</v>
      </c>
      <c r="AC117" s="106">
        <f>('CBA Inputs'!AD$148-'CBA Inputs'!AD152)*AC$14</f>
        <v>11496.041353172623</v>
      </c>
      <c r="AD117" s="106">
        <f>('CBA Inputs'!AE$148-'CBA Inputs'!AE152)*AD$14</f>
        <v>28760.1813573447</v>
      </c>
      <c r="AE117" s="106">
        <f>('CBA Inputs'!AF$148-'CBA Inputs'!AF152)*AE$14</f>
        <v>0</v>
      </c>
      <c r="AF117" s="106">
        <f>('CBA Inputs'!AG$148-'CBA Inputs'!AG152)*AF$14</f>
        <v>0</v>
      </c>
      <c r="AG117" s="106">
        <f>('CBA Inputs'!AH$148-'CBA Inputs'!AH152)*AG$14</f>
        <v>0</v>
      </c>
      <c r="AH117" s="106">
        <f>('CBA Inputs'!AI$148-'CBA Inputs'!AI152)*AH$14</f>
        <v>0</v>
      </c>
    </row>
    <row r="118" spans="2:34" x14ac:dyDescent="0.25">
      <c r="B118" s="114"/>
      <c r="C118" s="114"/>
      <c r="D118" s="123"/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</row>
    <row r="119" spans="2:34" ht="13" x14ac:dyDescent="0.3">
      <c r="B119" s="122" t="str">
        <f>B88</f>
        <v>Costs for non RIT-T proponent parties</v>
      </c>
      <c r="C119" s="122"/>
      <c r="D119" s="123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</row>
    <row r="120" spans="2:34" x14ac:dyDescent="0.25">
      <c r="B120" s="114" t="str">
        <f>'Option inputs'!$C$15</f>
        <v>Option 1A</v>
      </c>
      <c r="C120" s="163" t="s">
        <v>35</v>
      </c>
      <c r="D120" s="123">
        <f>NPV(DiscountRate_ACTIVE,E120:AH120)/(1+DiscountRate_ACTIVE)^(FirstYear-BaseYear-2)*'Option inputs'!$F$15</f>
        <v>185881488.94470039</v>
      </c>
      <c r="E120" s="106">
        <f>('CBA Inputs'!F$178-'CBA Inputs'!F179)*E$14</f>
        <v>0</v>
      </c>
      <c r="F120" s="106">
        <f>('CBA Inputs'!G$178-'CBA Inputs'!G179)*F$14</f>
        <v>1842.2788970470428</v>
      </c>
      <c r="G120" s="106">
        <f>('CBA Inputs'!H$178-'CBA Inputs'!H179)*G$14</f>
        <v>2639.2808754444122</v>
      </c>
      <c r="H120" s="106">
        <f>('CBA Inputs'!I$178-'CBA Inputs'!I179)*H$14</f>
        <v>125403706.58657861</v>
      </c>
      <c r="I120" s="106">
        <f>('CBA Inputs'!J$178-'CBA Inputs'!J179)*I$14</f>
        <v>532658.98336052895</v>
      </c>
      <c r="J120" s="106">
        <f>('CBA Inputs'!K$178-'CBA Inputs'!K179)*J$14</f>
        <v>28127921.399050593</v>
      </c>
      <c r="K120" s="106">
        <f>('CBA Inputs'!L$178-'CBA Inputs'!L179)*K$14</f>
        <v>-7060324.8314560652</v>
      </c>
      <c r="L120" s="106">
        <f>('CBA Inputs'!M$178-'CBA Inputs'!M179)*L$14</f>
        <v>364788.21609330177</v>
      </c>
      <c r="M120" s="106">
        <f>('CBA Inputs'!N$178-'CBA Inputs'!N179)*M$14</f>
        <v>-10037711.91072464</v>
      </c>
      <c r="N120" s="106">
        <f>('CBA Inputs'!O$178-'CBA Inputs'!O179)*N$14</f>
        <v>141800241.70857811</v>
      </c>
      <c r="O120" s="106">
        <f>('CBA Inputs'!P$178-'CBA Inputs'!P179)*O$14</f>
        <v>13339969.457977057</v>
      </c>
      <c r="P120" s="106">
        <f>('CBA Inputs'!Q$178-'CBA Inputs'!Q179)*P$14</f>
        <v>-1058824.4329900742</v>
      </c>
      <c r="Q120" s="106">
        <f>('CBA Inputs'!R$178-'CBA Inputs'!R179)*Q$14</f>
        <v>-812001.3371168375</v>
      </c>
      <c r="R120" s="106">
        <f>('CBA Inputs'!S$178-'CBA Inputs'!S179)*R$14</f>
        <v>-12787821.743849635</v>
      </c>
      <c r="S120" s="106">
        <f>('CBA Inputs'!T$178-'CBA Inputs'!T179)*S$14</f>
        <v>-9421577.9901795387</v>
      </c>
      <c r="T120" s="106">
        <f>('CBA Inputs'!U$178-'CBA Inputs'!U179)*T$14</f>
        <v>-970628.92001080513</v>
      </c>
      <c r="U120" s="106">
        <f>('CBA Inputs'!V$178-'CBA Inputs'!V179)*U$14</f>
        <v>6084782.3678798676</v>
      </c>
      <c r="V120" s="106">
        <f>('CBA Inputs'!W$178-'CBA Inputs'!W179)*V$14</f>
        <v>112058208.53511143</v>
      </c>
      <c r="W120" s="106">
        <f>('CBA Inputs'!X$178-'CBA Inputs'!X179)*W$14</f>
        <v>-191141992.5059588</v>
      </c>
      <c r="X120" s="106">
        <f>('CBA Inputs'!Y$178-'CBA Inputs'!Y179)*X$14</f>
        <v>30379391.267061949</v>
      </c>
      <c r="Y120" s="106">
        <f>('CBA Inputs'!Z$178-'CBA Inputs'!Z179)*Y$14</f>
        <v>-10527832.993554115</v>
      </c>
      <c r="Z120" s="106">
        <f>('CBA Inputs'!AA$178-'CBA Inputs'!AA179)*Z$14</f>
        <v>30423396.590378046</v>
      </c>
      <c r="AA120" s="106">
        <f>('CBA Inputs'!AB$178-'CBA Inputs'!AB179)*AA$14</f>
        <v>-55968733.908589125</v>
      </c>
      <c r="AB120" s="106">
        <f>('CBA Inputs'!AC$178-'CBA Inputs'!AC179)*AB$14</f>
        <v>-12965506.146062136</v>
      </c>
      <c r="AC120" s="106">
        <f>('CBA Inputs'!AD$178-'CBA Inputs'!AD179)*AC$14</f>
        <v>17614427.701512814</v>
      </c>
      <c r="AD120" s="106">
        <f>('CBA Inputs'!AE$178-'CBA Inputs'!AE179)*AD$14</f>
        <v>5316604.7600671053</v>
      </c>
      <c r="AE120" s="106">
        <f>('CBA Inputs'!AF$178-'CBA Inputs'!AF179)*AE$14</f>
        <v>0</v>
      </c>
      <c r="AF120" s="106">
        <f>('CBA Inputs'!AG$178-'CBA Inputs'!AG179)*AF$14</f>
        <v>0</v>
      </c>
      <c r="AG120" s="106">
        <f>('CBA Inputs'!AH$178-'CBA Inputs'!AH179)*AG$14</f>
        <v>0</v>
      </c>
      <c r="AH120" s="106">
        <f>('CBA Inputs'!AI$178-'CBA Inputs'!AI179)*AH$14</f>
        <v>0</v>
      </c>
    </row>
    <row r="121" spans="2:34" x14ac:dyDescent="0.25">
      <c r="B121" s="114" t="str">
        <f>'Option inputs'!$C$16</f>
        <v>Option 1B</v>
      </c>
      <c r="C121" s="163" t="s">
        <v>35</v>
      </c>
      <c r="D121" s="123">
        <f>NPV(DiscountRate_ACTIVE,E121:AH121)/(1+DiscountRate_ACTIVE)^(FirstYear-BaseYear-2)*'Option inputs'!$F$15</f>
        <v>-23349245.032512873</v>
      </c>
      <c r="E121" s="106">
        <f>('CBA Inputs'!F$178-'CBA Inputs'!F180)*E$14</f>
        <v>0</v>
      </c>
      <c r="F121" s="106">
        <f>('CBA Inputs'!G$178-'CBA Inputs'!G180)*F$14</f>
        <v>1838.9635826349258</v>
      </c>
      <c r="G121" s="106">
        <f>('CBA Inputs'!H$178-'CBA Inputs'!H180)*G$14</f>
        <v>1182.0554938316345</v>
      </c>
      <c r="H121" s="106">
        <f>('CBA Inputs'!I$178-'CBA Inputs'!I180)*H$14</f>
        <v>491035.88474106789</v>
      </c>
      <c r="I121" s="106">
        <f>('CBA Inputs'!J$178-'CBA Inputs'!J180)*I$14</f>
        <v>670287.57256507874</v>
      </c>
      <c r="J121" s="106">
        <f>('CBA Inputs'!K$178-'CBA Inputs'!K180)*J$14</f>
        <v>666638.48534727097</v>
      </c>
      <c r="K121" s="106">
        <f>('CBA Inputs'!L$178-'CBA Inputs'!L180)*K$14</f>
        <v>-1113367.139595747</v>
      </c>
      <c r="L121" s="106">
        <f>('CBA Inputs'!M$178-'CBA Inputs'!M180)*L$14</f>
        <v>317900.50352966785</v>
      </c>
      <c r="M121" s="106">
        <f>('CBA Inputs'!N$178-'CBA Inputs'!N180)*M$14</f>
        <v>628795.86978161335</v>
      </c>
      <c r="N121" s="106">
        <f>('CBA Inputs'!O$178-'CBA Inputs'!O180)*N$14</f>
        <v>10053163.856076717</v>
      </c>
      <c r="O121" s="106">
        <f>('CBA Inputs'!P$178-'CBA Inputs'!P180)*O$14</f>
        <v>4831078.7650089264</v>
      </c>
      <c r="P121" s="106">
        <f>('CBA Inputs'!Q$178-'CBA Inputs'!Q180)*P$14</f>
        <v>93818.849542379379</v>
      </c>
      <c r="Q121" s="106">
        <f>('CBA Inputs'!R$178-'CBA Inputs'!R180)*Q$14</f>
        <v>337298.54479372501</v>
      </c>
      <c r="R121" s="106">
        <f>('CBA Inputs'!S$178-'CBA Inputs'!S180)*R$14</f>
        <v>25997271.458927751</v>
      </c>
      <c r="S121" s="106">
        <f>('CBA Inputs'!T$178-'CBA Inputs'!T180)*S$14</f>
        <v>7024158.2121777534</v>
      </c>
      <c r="T121" s="106">
        <f>('CBA Inputs'!U$178-'CBA Inputs'!U180)*T$14</f>
        <v>51622.924478292465</v>
      </c>
      <c r="U121" s="106">
        <f>('CBA Inputs'!V$178-'CBA Inputs'!V180)*U$14</f>
        <v>-51669741.416982174</v>
      </c>
      <c r="V121" s="106">
        <f>('CBA Inputs'!W$178-'CBA Inputs'!W180)*V$14</f>
        <v>63241102.776292801</v>
      </c>
      <c r="W121" s="106">
        <f>('CBA Inputs'!X$178-'CBA Inputs'!X180)*W$14</f>
        <v>-168804746.80589032</v>
      </c>
      <c r="X121" s="106">
        <f>('CBA Inputs'!Y$178-'CBA Inputs'!Y180)*X$14</f>
        <v>-6419008.2852553129</v>
      </c>
      <c r="Y121" s="106">
        <f>('CBA Inputs'!Z$178-'CBA Inputs'!Z180)*Y$14</f>
        <v>-576169.57960605621</v>
      </c>
      <c r="Z121" s="106">
        <f>('CBA Inputs'!AA$178-'CBA Inputs'!AA180)*Z$14</f>
        <v>77411121.858459711</v>
      </c>
      <c r="AA121" s="106">
        <f>('CBA Inputs'!AB$178-'CBA Inputs'!AB180)*AA$14</f>
        <v>-50622107.122583866</v>
      </c>
      <c r="AB121" s="106">
        <f>('CBA Inputs'!AC$178-'CBA Inputs'!AC180)*AB$14</f>
        <v>-2872719.6487962008</v>
      </c>
      <c r="AC121" s="106">
        <f>('CBA Inputs'!AD$178-'CBA Inputs'!AD180)*AC$14</f>
        <v>7873177.3889641762</v>
      </c>
      <c r="AD121" s="106">
        <f>('CBA Inputs'!AE$178-'CBA Inputs'!AE180)*AD$14</f>
        <v>5882015.2927576303</v>
      </c>
      <c r="AE121" s="106">
        <f>('CBA Inputs'!AF$178-'CBA Inputs'!AF180)*AE$14</f>
        <v>0</v>
      </c>
      <c r="AF121" s="106">
        <f>('CBA Inputs'!AG$178-'CBA Inputs'!AG180)*AF$14</f>
        <v>0</v>
      </c>
      <c r="AG121" s="106">
        <f>('CBA Inputs'!AH$178-'CBA Inputs'!AH180)*AG$14</f>
        <v>0</v>
      </c>
      <c r="AH121" s="106">
        <f>('CBA Inputs'!AI$178-'CBA Inputs'!AI180)*AH$14</f>
        <v>0</v>
      </c>
    </row>
    <row r="122" spans="2:34" x14ac:dyDescent="0.25">
      <c r="B122" s="114" t="str">
        <f>'Option inputs'!$C$17</f>
        <v>Option 1C</v>
      </c>
      <c r="C122" s="163" t="s">
        <v>35</v>
      </c>
      <c r="D122" s="123">
        <f>NPV(DiscountRate_ACTIVE,E122:AH122)/(1+DiscountRate_ACTIVE)^(FirstYear-BaseYear-2)*'Option inputs'!$F$15</f>
        <v>208258641.31712979</v>
      </c>
      <c r="E122" s="106">
        <f>('CBA Inputs'!F$178-'CBA Inputs'!F181)*E$14</f>
        <v>0</v>
      </c>
      <c r="F122" s="106">
        <f>('CBA Inputs'!G$178-'CBA Inputs'!G181)*F$14</f>
        <v>1772.7697796821594</v>
      </c>
      <c r="G122" s="106">
        <f>('CBA Inputs'!H$178-'CBA Inputs'!H181)*G$14</f>
        <v>2111.5797003507614</v>
      </c>
      <c r="H122" s="106">
        <f>('CBA Inputs'!I$178-'CBA Inputs'!I181)*H$14</f>
        <v>123867052.33654964</v>
      </c>
      <c r="I122" s="106">
        <f>('CBA Inputs'!J$178-'CBA Inputs'!J181)*I$14</f>
        <v>-148117.94519615173</v>
      </c>
      <c r="J122" s="106">
        <f>('CBA Inputs'!K$178-'CBA Inputs'!K181)*J$14</f>
        <v>28414285.125551581</v>
      </c>
      <c r="K122" s="106">
        <f>('CBA Inputs'!L$178-'CBA Inputs'!L181)*K$14</f>
        <v>-7598279.301975131</v>
      </c>
      <c r="L122" s="106">
        <f>('CBA Inputs'!M$178-'CBA Inputs'!M181)*L$14</f>
        <v>5093.4554985761642</v>
      </c>
      <c r="M122" s="106">
        <f>('CBA Inputs'!N$178-'CBA Inputs'!N181)*M$14</f>
        <v>-10421030.256614923</v>
      </c>
      <c r="N122" s="106">
        <f>('CBA Inputs'!O$178-'CBA Inputs'!O181)*N$14</f>
        <v>153249346.39612794</v>
      </c>
      <c r="O122" s="106">
        <f>('CBA Inputs'!P$178-'CBA Inputs'!P181)*O$14</f>
        <v>8903327.9474670887</v>
      </c>
      <c r="P122" s="106">
        <f>('CBA Inputs'!Q$178-'CBA Inputs'!Q181)*P$14</f>
        <v>-1349910.1192463636</v>
      </c>
      <c r="Q122" s="106">
        <f>('CBA Inputs'!R$178-'CBA Inputs'!R181)*Q$14</f>
        <v>-1455659.5636708736</v>
      </c>
      <c r="R122" s="106">
        <f>('CBA Inputs'!S$178-'CBA Inputs'!S181)*R$14</f>
        <v>-47645897.867756248</v>
      </c>
      <c r="S122" s="106">
        <f>('CBA Inputs'!T$178-'CBA Inputs'!T181)*S$14</f>
        <v>-2857010.4738879204</v>
      </c>
      <c r="T122" s="106">
        <f>('CBA Inputs'!U$178-'CBA Inputs'!U181)*T$14</f>
        <v>-1226253.063133359</v>
      </c>
      <c r="U122" s="106">
        <f>('CBA Inputs'!V$178-'CBA Inputs'!V181)*U$14</f>
        <v>34913609.59851265</v>
      </c>
      <c r="V122" s="106">
        <f>('CBA Inputs'!W$178-'CBA Inputs'!W181)*V$14</f>
        <v>28961896.198031902</v>
      </c>
      <c r="W122" s="106">
        <f>('CBA Inputs'!X$178-'CBA Inputs'!X181)*W$14</f>
        <v>-10238512.5933249</v>
      </c>
      <c r="X122" s="106">
        <f>('CBA Inputs'!Y$178-'CBA Inputs'!Y181)*X$14</f>
        <v>6037655.4962538481</v>
      </c>
      <c r="Y122" s="106">
        <f>('CBA Inputs'!Z$178-'CBA Inputs'!Z181)*Y$14</f>
        <v>-1822236.5078024864</v>
      </c>
      <c r="Z122" s="106">
        <f>('CBA Inputs'!AA$178-'CBA Inputs'!AA181)*Z$14</f>
        <v>-4597896.9179468155</v>
      </c>
      <c r="AA122" s="106">
        <f>('CBA Inputs'!AB$178-'CBA Inputs'!AB181)*AA$14</f>
        <v>-28824543.894968271</v>
      </c>
      <c r="AB122" s="106">
        <f>('CBA Inputs'!AC$178-'CBA Inputs'!AC181)*AB$14</f>
        <v>-15393675.576155782</v>
      </c>
      <c r="AC122" s="106">
        <f>('CBA Inputs'!AD$178-'CBA Inputs'!AD181)*AC$14</f>
        <v>6309585.6905884743</v>
      </c>
      <c r="AD122" s="106">
        <f>('CBA Inputs'!AE$178-'CBA Inputs'!AE181)*AD$14</f>
        <v>7795749.3354610205</v>
      </c>
      <c r="AE122" s="106">
        <f>('CBA Inputs'!AF$178-'CBA Inputs'!AF181)*AE$14</f>
        <v>0</v>
      </c>
      <c r="AF122" s="106">
        <f>('CBA Inputs'!AG$178-'CBA Inputs'!AG181)*AF$14</f>
        <v>0</v>
      </c>
      <c r="AG122" s="106">
        <f>('CBA Inputs'!AH$178-'CBA Inputs'!AH181)*AG$14</f>
        <v>0</v>
      </c>
      <c r="AH122" s="106">
        <f>('CBA Inputs'!AI$178-'CBA Inputs'!AI181)*AH$14</f>
        <v>0</v>
      </c>
    </row>
    <row r="123" spans="2:34" x14ac:dyDescent="0.25">
      <c r="B123" s="114" t="str">
        <f>'Option inputs'!$C$18</f>
        <v>Option 1D</v>
      </c>
      <c r="C123" s="163" t="s">
        <v>35</v>
      </c>
      <c r="D123" s="123">
        <f>NPV(DiscountRate_ACTIVE,E123:AH123)/(1+DiscountRate_ACTIVE)^(FirstYear-BaseYear-2)*'Option inputs'!$F$15</f>
        <v>151440580.01212847</v>
      </c>
      <c r="E123" s="106">
        <f>('CBA Inputs'!F$178-'CBA Inputs'!F182)*E$14</f>
        <v>0</v>
      </c>
      <c r="F123" s="106">
        <f>('CBA Inputs'!G$178-'CBA Inputs'!G182)*F$14</f>
        <v>1839.4208314418793</v>
      </c>
      <c r="G123" s="106">
        <f>('CBA Inputs'!H$178-'CBA Inputs'!H182)*G$14</f>
        <v>1922.2486922740936</v>
      </c>
      <c r="H123" s="106">
        <f>('CBA Inputs'!I$178-'CBA Inputs'!I182)*H$14</f>
        <v>111019172.98248279</v>
      </c>
      <c r="I123" s="106">
        <f>('CBA Inputs'!J$178-'CBA Inputs'!J182)*I$14</f>
        <v>-130134.01668536663</v>
      </c>
      <c r="J123" s="106">
        <f>('CBA Inputs'!K$178-'CBA Inputs'!K182)*J$14</f>
        <v>28441858.468549371</v>
      </c>
      <c r="K123" s="106">
        <f>('CBA Inputs'!L$178-'CBA Inputs'!L182)*K$14</f>
        <v>-17862479.54147017</v>
      </c>
      <c r="L123" s="106">
        <f>('CBA Inputs'!M$178-'CBA Inputs'!M182)*L$14</f>
        <v>5172.9302861690521</v>
      </c>
      <c r="M123" s="106">
        <f>('CBA Inputs'!N$178-'CBA Inputs'!N182)*M$14</f>
        <v>-3783352.3391180038</v>
      </c>
      <c r="N123" s="106">
        <f>('CBA Inputs'!O$178-'CBA Inputs'!O182)*N$14</f>
        <v>77928580.618546963</v>
      </c>
      <c r="O123" s="106">
        <f>('CBA Inputs'!P$178-'CBA Inputs'!P182)*O$14</f>
        <v>-242787.77925753593</v>
      </c>
      <c r="P123" s="106">
        <f>('CBA Inputs'!Q$178-'CBA Inputs'!Q182)*P$14</f>
        <v>-880862.58845233917</v>
      </c>
      <c r="Q123" s="106">
        <f>('CBA Inputs'!R$178-'CBA Inputs'!R182)*Q$14</f>
        <v>-953634.76797366142</v>
      </c>
      <c r="R123" s="106">
        <f>('CBA Inputs'!S$178-'CBA Inputs'!S182)*R$14</f>
        <v>-14827200.027153373</v>
      </c>
      <c r="S123" s="106">
        <f>('CBA Inputs'!T$178-'CBA Inputs'!T182)*S$14</f>
        <v>-5436024.5508930683</v>
      </c>
      <c r="T123" s="106">
        <f>('CBA Inputs'!U$178-'CBA Inputs'!U182)*T$14</f>
        <v>-783308.50355219841</v>
      </c>
      <c r="U123" s="106">
        <f>('CBA Inputs'!V$178-'CBA Inputs'!V182)*U$14</f>
        <v>52847491.471820354</v>
      </c>
      <c r="V123" s="106">
        <f>('CBA Inputs'!W$178-'CBA Inputs'!W182)*V$14</f>
        <v>2050557.7877368927</v>
      </c>
      <c r="W123" s="106">
        <f>('CBA Inputs'!X$178-'CBA Inputs'!X182)*W$14</f>
        <v>-5715334.0900497437</v>
      </c>
      <c r="X123" s="106">
        <f>('CBA Inputs'!Y$178-'CBA Inputs'!Y182)*X$14</f>
        <v>-6074442.7787725925</v>
      </c>
      <c r="Y123" s="106">
        <f>('CBA Inputs'!Z$178-'CBA Inputs'!Z182)*Y$14</f>
        <v>-8296471.9267735481</v>
      </c>
      <c r="Z123" s="106">
        <f>('CBA Inputs'!AA$178-'CBA Inputs'!AA182)*Z$14</f>
        <v>1190864.7146224976</v>
      </c>
      <c r="AA123" s="106">
        <f>('CBA Inputs'!AB$178-'CBA Inputs'!AB182)*AA$14</f>
        <v>-28952308.605874777</v>
      </c>
      <c r="AB123" s="106">
        <f>('CBA Inputs'!AC$178-'CBA Inputs'!AC182)*AB$14</f>
        <v>-8625300.0242536068</v>
      </c>
      <c r="AC123" s="106">
        <f>('CBA Inputs'!AD$178-'CBA Inputs'!AD182)*AC$14</f>
        <v>2335821.5049321651</v>
      </c>
      <c r="AD123" s="106">
        <f>('CBA Inputs'!AE$178-'CBA Inputs'!AE182)*AD$14</f>
        <v>8722447.7100021839</v>
      </c>
      <c r="AE123" s="106">
        <f>('CBA Inputs'!AF$178-'CBA Inputs'!AF182)*AE$14</f>
        <v>0</v>
      </c>
      <c r="AF123" s="106">
        <f>('CBA Inputs'!AG$178-'CBA Inputs'!AG182)*AF$14</f>
        <v>0</v>
      </c>
      <c r="AG123" s="106">
        <f>('CBA Inputs'!AH$178-'CBA Inputs'!AH182)*AG$14</f>
        <v>0</v>
      </c>
      <c r="AH123" s="106">
        <f>('CBA Inputs'!AI$178-'CBA Inputs'!AI182)*AH$14</f>
        <v>0</v>
      </c>
    </row>
    <row r="125" spans="2:34" ht="13" x14ac:dyDescent="0.3">
      <c r="B125" s="113" t="str">
        <f>G6</f>
        <v>Fast change</v>
      </c>
      <c r="C125" s="158" t="s">
        <v>7</v>
      </c>
      <c r="D125" s="107" t="s">
        <v>38</v>
      </c>
      <c r="E125" s="107" t="str">
        <f>E$19</f>
        <v>FY 2019-20</v>
      </c>
      <c r="F125" s="107" t="str">
        <f t="shared" ref="F125:AH125" si="8">F$19</f>
        <v>FY 2020-21</v>
      </c>
      <c r="G125" s="107" t="str">
        <f t="shared" si="8"/>
        <v>FY 2021-22</v>
      </c>
      <c r="H125" s="107" t="str">
        <f t="shared" si="8"/>
        <v>FY 2022-23</v>
      </c>
      <c r="I125" s="107" t="str">
        <f t="shared" si="8"/>
        <v>FY 2023-24</v>
      </c>
      <c r="J125" s="107" t="str">
        <f t="shared" si="8"/>
        <v>FY 2024-25</v>
      </c>
      <c r="K125" s="107" t="str">
        <f t="shared" si="8"/>
        <v>FY 2025-26</v>
      </c>
      <c r="L125" s="107" t="str">
        <f t="shared" si="8"/>
        <v>FY 2026-27</v>
      </c>
      <c r="M125" s="107" t="str">
        <f t="shared" si="8"/>
        <v>FY 2027-28</v>
      </c>
      <c r="N125" s="107" t="str">
        <f t="shared" si="8"/>
        <v>FY 2028-29</v>
      </c>
      <c r="O125" s="107" t="str">
        <f t="shared" si="8"/>
        <v>FY 2029-30</v>
      </c>
      <c r="P125" s="107" t="str">
        <f t="shared" si="8"/>
        <v>FY 2030-31</v>
      </c>
      <c r="Q125" s="107" t="str">
        <f t="shared" si="8"/>
        <v>FY 2031-32</v>
      </c>
      <c r="R125" s="107" t="str">
        <f t="shared" si="8"/>
        <v>FY 2032-33</v>
      </c>
      <c r="S125" s="107" t="str">
        <f t="shared" si="8"/>
        <v>FY 2033-34</v>
      </c>
      <c r="T125" s="107" t="str">
        <f t="shared" si="8"/>
        <v>FY 2034-35</v>
      </c>
      <c r="U125" s="107" t="str">
        <f t="shared" si="8"/>
        <v>FY 2035-36</v>
      </c>
      <c r="V125" s="107" t="str">
        <f t="shared" si="8"/>
        <v>FY 2036-37</v>
      </c>
      <c r="W125" s="107" t="str">
        <f t="shared" si="8"/>
        <v>FY 2037-38</v>
      </c>
      <c r="X125" s="107" t="str">
        <f t="shared" si="8"/>
        <v>FY 2038-39</v>
      </c>
      <c r="Y125" s="107" t="str">
        <f t="shared" si="8"/>
        <v>FY 2039-40</v>
      </c>
      <c r="Z125" s="107" t="str">
        <f t="shared" si="8"/>
        <v>FY 2040-41</v>
      </c>
      <c r="AA125" s="107" t="str">
        <f t="shared" si="8"/>
        <v>FY 2041-42</v>
      </c>
      <c r="AB125" s="107" t="str">
        <f t="shared" si="8"/>
        <v>FY 2042-43</v>
      </c>
      <c r="AC125" s="107" t="str">
        <f t="shared" si="8"/>
        <v>FY 2043-44</v>
      </c>
      <c r="AD125" s="107" t="str">
        <f t="shared" si="8"/>
        <v>FY 2044-45</v>
      </c>
      <c r="AE125" s="107" t="str">
        <f t="shared" si="8"/>
        <v>FY 2045-46</v>
      </c>
      <c r="AF125" s="107" t="str">
        <f t="shared" si="8"/>
        <v>FY 2046-47</v>
      </c>
      <c r="AG125" s="107" t="str">
        <f t="shared" si="8"/>
        <v>FY 2047-48</v>
      </c>
      <c r="AH125" s="107" t="str">
        <f t="shared" si="8"/>
        <v>FY 2048-49</v>
      </c>
    </row>
    <row r="126" spans="2:34" ht="13" x14ac:dyDescent="0.3">
      <c r="B126" s="122" t="str">
        <f>B95</f>
        <v>Involuntary load shedding</v>
      </c>
      <c r="C126" s="122"/>
      <c r="D126" s="123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</row>
    <row r="127" spans="2:34" x14ac:dyDescent="0.25">
      <c r="B127" s="114" t="str">
        <f>'Option inputs'!$C$15</f>
        <v>Option 1A</v>
      </c>
      <c r="C127" s="163" t="s">
        <v>35</v>
      </c>
      <c r="D127" s="123">
        <f>NPV(DiscountRate_ACTIVE,E127:AH127)/(1+DiscountRate_ACTIVE)^(FirstYear-BaseYear-2)*'Option inputs'!$F$15</f>
        <v>-34841473.275589138</v>
      </c>
      <c r="E127" s="106">
        <f>('CBA Inputs'!F$65-'CBA Inputs'!F66)*E$14</f>
        <v>0</v>
      </c>
      <c r="F127" s="106">
        <f>('CBA Inputs'!G$65-'CBA Inputs'!G66)*F$14</f>
        <v>-0.23603120818734169</v>
      </c>
      <c r="G127" s="106">
        <f>('CBA Inputs'!H$65-'CBA Inputs'!H66)*G$14</f>
        <v>-2996610.2961503696</v>
      </c>
      <c r="H127" s="106">
        <f>('CBA Inputs'!I$65-'CBA Inputs'!I66)*H$14</f>
        <v>1067140.4910262749</v>
      </c>
      <c r="I127" s="106">
        <f>('CBA Inputs'!J$65-'CBA Inputs'!J66)*I$14</f>
        <v>-5911676.4335730225</v>
      </c>
      <c r="J127" s="106">
        <f>('CBA Inputs'!K$65-'CBA Inputs'!K66)*J$14</f>
        <v>-14899835.084648304</v>
      </c>
      <c r="K127" s="106">
        <f>('CBA Inputs'!L$65-'CBA Inputs'!L66)*K$14</f>
        <v>2.7189452488282813</v>
      </c>
      <c r="L127" s="106">
        <f>('CBA Inputs'!M$65-'CBA Inputs'!M66)*L$14</f>
        <v>2.8791999817611642</v>
      </c>
      <c r="M127" s="106">
        <f>('CBA Inputs'!N$65-'CBA Inputs'!N66)*M$14</f>
        <v>9818.4205390233546</v>
      </c>
      <c r="N127" s="106">
        <f>('CBA Inputs'!O$65-'CBA Inputs'!O66)*N$14</f>
        <v>3.2305879427964586</v>
      </c>
      <c r="O127" s="106">
        <f>('CBA Inputs'!P$65-'CBA Inputs'!P66)*O$14</f>
        <v>-148000.38263179691</v>
      </c>
      <c r="P127" s="106">
        <f>('CBA Inputs'!Q$65-'CBA Inputs'!Q66)*P$14</f>
        <v>2853541.017512545</v>
      </c>
      <c r="Q127" s="106">
        <f>('CBA Inputs'!R$65-'CBA Inputs'!R66)*Q$14</f>
        <v>-246740.55501465534</v>
      </c>
      <c r="R127" s="106">
        <f>('CBA Inputs'!S$65-'CBA Inputs'!S66)*R$14</f>
        <v>-2335967.3902014345</v>
      </c>
      <c r="S127" s="106">
        <f>('CBA Inputs'!T$65-'CBA Inputs'!T66)*S$14</f>
        <v>-1446256.452491492</v>
      </c>
      <c r="T127" s="106">
        <f>('CBA Inputs'!U$65-'CBA Inputs'!U66)*T$14</f>
        <v>38781.025425698703</v>
      </c>
      <c r="U127" s="106">
        <f>('CBA Inputs'!V$65-'CBA Inputs'!V66)*U$14</f>
        <v>-9025439.957043156</v>
      </c>
      <c r="V127" s="106">
        <f>('CBA Inputs'!W$65-'CBA Inputs'!W66)*V$14</f>
        <v>5.1074922870776538</v>
      </c>
      <c r="W127" s="106">
        <f>('CBA Inputs'!X$65-'CBA Inputs'!X66)*W$14</f>
        <v>5.4087668544775216</v>
      </c>
      <c r="X127" s="106">
        <f>('CBA Inputs'!Y$65-'CBA Inputs'!Y66)*X$14</f>
        <v>-794874.20977494121</v>
      </c>
      <c r="Y127" s="106">
        <f>('CBA Inputs'!Z$65-'CBA Inputs'!Z66)*Y$14</f>
        <v>-6355755.6402860451</v>
      </c>
      <c r="Z127" s="106">
        <f>('CBA Inputs'!AA$65-'CBA Inputs'!AA66)*Z$14</f>
        <v>-4520055.0022694534</v>
      </c>
      <c r="AA127" s="106">
        <f>('CBA Inputs'!AB$65-'CBA Inputs'!AB66)*AA$14</f>
        <v>-27996165.43159689</v>
      </c>
      <c r="AB127" s="106">
        <f>('CBA Inputs'!AC$65-'CBA Inputs'!AC66)*AB$14</f>
        <v>-1063259.6973982118</v>
      </c>
      <c r="AC127" s="106">
        <f>('CBA Inputs'!AD$65-'CBA Inputs'!AD66)*AC$14</f>
        <v>2571278.4191070572</v>
      </c>
      <c r="AD127" s="106">
        <f>('CBA Inputs'!AE$65-'CBA Inputs'!AE66)*AD$14</f>
        <v>8.0860852473797458</v>
      </c>
      <c r="AE127" s="106">
        <f>('CBA Inputs'!AF$65-'CBA Inputs'!AF66)*AE$14</f>
        <v>0</v>
      </c>
      <c r="AF127" s="106">
        <f>('CBA Inputs'!AG$65-'CBA Inputs'!AG66)*AF$14</f>
        <v>0</v>
      </c>
      <c r="AG127" s="106">
        <f>('CBA Inputs'!AH$65-'CBA Inputs'!AH66)*AG$14</f>
        <v>0</v>
      </c>
      <c r="AH127" s="106">
        <f>('CBA Inputs'!AI$65-'CBA Inputs'!AI66)*AH$14</f>
        <v>0</v>
      </c>
    </row>
    <row r="128" spans="2:34" x14ac:dyDescent="0.25">
      <c r="B128" s="114" t="str">
        <f>'Option inputs'!$C$16</f>
        <v>Option 1B</v>
      </c>
      <c r="C128" s="163" t="s">
        <v>35</v>
      </c>
      <c r="D128" s="123">
        <f>NPV(DiscountRate_ACTIVE,E128:AH128)/(1+DiscountRate_ACTIVE)^(FirstYear-BaseYear-2)*'Option inputs'!$F$15</f>
        <v>-20968410.452113144</v>
      </c>
      <c r="E128" s="106">
        <f>('CBA Inputs'!F$65-'CBA Inputs'!F67)*E$14</f>
        <v>0</v>
      </c>
      <c r="F128" s="106">
        <f>('CBA Inputs'!G$65-'CBA Inputs'!G67)*F$14</f>
        <v>1.1865819320082664</v>
      </c>
      <c r="G128" s="106">
        <f>('CBA Inputs'!H$65-'CBA Inputs'!H67)*G$14</f>
        <v>-0.91479872725903988</v>
      </c>
      <c r="H128" s="106">
        <f>('CBA Inputs'!I$65-'CBA Inputs'!I67)*H$14</f>
        <v>2434131.2803339884</v>
      </c>
      <c r="I128" s="106">
        <f>('CBA Inputs'!J$65-'CBA Inputs'!J67)*I$14</f>
        <v>-1040875.0707437769</v>
      </c>
      <c r="J128" s="106">
        <f>('CBA Inputs'!K$65-'CBA Inputs'!K67)*J$14</f>
        <v>356106.8831506893</v>
      </c>
      <c r="K128" s="106">
        <f>('CBA Inputs'!L$65-'CBA Inputs'!L67)*K$14</f>
        <v>-1.2941707363300248</v>
      </c>
      <c r="L128" s="106">
        <f>('CBA Inputs'!M$65-'CBA Inputs'!M67)*L$14</f>
        <v>-1.3701107890563229</v>
      </c>
      <c r="M128" s="106">
        <f>('CBA Inputs'!N$65-'CBA Inputs'!N67)*M$14</f>
        <v>297983.57508425973</v>
      </c>
      <c r="N128" s="106">
        <f>('CBA Inputs'!O$65-'CBA Inputs'!O67)*N$14</f>
        <v>-1.5378650318667102</v>
      </c>
      <c r="O128" s="106">
        <f>('CBA Inputs'!P$65-'CBA Inputs'!P67)*O$14</f>
        <v>-988633.3245254145</v>
      </c>
      <c r="P128" s="106">
        <f>('CBA Inputs'!Q$65-'CBA Inputs'!Q67)*P$14</f>
        <v>2108147.9609501064</v>
      </c>
      <c r="Q128" s="106">
        <f>('CBA Inputs'!R$65-'CBA Inputs'!R67)*Q$14</f>
        <v>-2683523.3448343785</v>
      </c>
      <c r="R128" s="106">
        <f>('CBA Inputs'!S$65-'CBA Inputs'!S67)*R$14</f>
        <v>-4692091.7386941463</v>
      </c>
      <c r="S128" s="106">
        <f>('CBA Inputs'!T$65-'CBA Inputs'!T67)*S$14</f>
        <v>-5377649.1907089651</v>
      </c>
      <c r="T128" s="106">
        <f>('CBA Inputs'!U$65-'CBA Inputs'!U67)*T$14</f>
        <v>-1473504.0123358793</v>
      </c>
      <c r="U128" s="106">
        <f>('CBA Inputs'!V$65-'CBA Inputs'!V67)*U$14</f>
        <v>-16316220.070515737</v>
      </c>
      <c r="V128" s="106">
        <f>('CBA Inputs'!W$65-'CBA Inputs'!W67)*V$14</f>
        <v>-2.4359367114344836</v>
      </c>
      <c r="W128" s="106">
        <f>('CBA Inputs'!X$65-'CBA Inputs'!X67)*W$14</f>
        <v>-2.580581394958708</v>
      </c>
      <c r="X128" s="106">
        <f>('CBA Inputs'!Y$65-'CBA Inputs'!Y67)*X$14</f>
        <v>-1034955.7294889465</v>
      </c>
      <c r="Y128" s="106">
        <f>('CBA Inputs'!Z$65-'CBA Inputs'!Z67)*Y$14</f>
        <v>-3335839.5105874501</v>
      </c>
      <c r="Z128" s="106">
        <f>('CBA Inputs'!AA$65-'CBA Inputs'!AA67)*Z$14</f>
        <v>-1949127.1516924314</v>
      </c>
      <c r="AA128" s="106">
        <f>('CBA Inputs'!AB$65-'CBA Inputs'!AB67)*AA$14</f>
        <v>-25424671.26088804</v>
      </c>
      <c r="AB128" s="106">
        <f>('CBA Inputs'!AC$65-'CBA Inputs'!AC67)*AB$14</f>
        <v>-594665.8193821758</v>
      </c>
      <c r="AC128" s="106">
        <f>('CBA Inputs'!AD$65-'CBA Inputs'!AD67)*AC$14</f>
        <v>1753720.5403972268</v>
      </c>
      <c r="AD128" s="106">
        <f>('CBA Inputs'!AE$65-'CBA Inputs'!AE67)*AD$14</f>
        <v>-3.8800628166011162</v>
      </c>
      <c r="AE128" s="106">
        <f>('CBA Inputs'!AF$65-'CBA Inputs'!AF67)*AE$14</f>
        <v>0</v>
      </c>
      <c r="AF128" s="106">
        <f>('CBA Inputs'!AG$65-'CBA Inputs'!AG67)*AF$14</f>
        <v>0</v>
      </c>
      <c r="AG128" s="106">
        <f>('CBA Inputs'!AH$65-'CBA Inputs'!AH67)*AG$14</f>
        <v>0</v>
      </c>
      <c r="AH128" s="106">
        <f>('CBA Inputs'!AI$65-'CBA Inputs'!AI67)*AH$14</f>
        <v>0</v>
      </c>
    </row>
    <row r="129" spans="2:34" x14ac:dyDescent="0.25">
      <c r="B129" s="114" t="str">
        <f>'Option inputs'!$C$17</f>
        <v>Option 1C</v>
      </c>
      <c r="C129" s="163" t="s">
        <v>35</v>
      </c>
      <c r="D129" s="123">
        <f>NPV(DiscountRate_ACTIVE,E129:AH129)/(1+DiscountRate_ACTIVE)^(FirstYear-BaseYear-2)*'Option inputs'!$F$15</f>
        <v>-9458920.0540778246</v>
      </c>
      <c r="E129" s="106">
        <f>('CBA Inputs'!F$65-'CBA Inputs'!F68)*E$14</f>
        <v>0</v>
      </c>
      <c r="F129" s="106">
        <f>('CBA Inputs'!G$65-'CBA Inputs'!G68)*F$14</f>
        <v>-9.5943823456764221E-2</v>
      </c>
      <c r="G129" s="106">
        <f>('CBA Inputs'!H$65-'CBA Inputs'!H68)*G$14</f>
        <v>-1186308.1310139876</v>
      </c>
      <c r="H129" s="106">
        <f>('CBA Inputs'!I$65-'CBA Inputs'!I68)*H$14</f>
        <v>1139339.5371756814</v>
      </c>
      <c r="I129" s="106">
        <f>('CBA Inputs'!J$65-'CBA Inputs'!J68)*I$14</f>
        <v>-2644926.0033025444</v>
      </c>
      <c r="J129" s="106">
        <f>('CBA Inputs'!K$65-'CBA Inputs'!K68)*J$14</f>
        <v>-6924713.9491231367</v>
      </c>
      <c r="K129" s="106">
        <f>('CBA Inputs'!L$65-'CBA Inputs'!L68)*K$14</f>
        <v>2.9290643284663793</v>
      </c>
      <c r="L129" s="106">
        <f>('CBA Inputs'!M$65-'CBA Inputs'!M68)*L$14</f>
        <v>3.1017509822361515</v>
      </c>
      <c r="M129" s="106">
        <f>('CBA Inputs'!N$65-'CBA Inputs'!N68)*M$14</f>
        <v>-2323554.8499980215</v>
      </c>
      <c r="N129" s="106">
        <f>('CBA Inputs'!O$65-'CBA Inputs'!O68)*N$14</f>
        <v>3.4801892685990836</v>
      </c>
      <c r="O129" s="106">
        <f>('CBA Inputs'!P$65-'CBA Inputs'!P68)*O$14</f>
        <v>3.6908420482870894</v>
      </c>
      <c r="P129" s="106">
        <f>('CBA Inputs'!Q$65-'CBA Inputs'!Q68)*P$14</f>
        <v>-222278.3352746591</v>
      </c>
      <c r="Q129" s="106">
        <f>('CBA Inputs'!R$65-'CBA Inputs'!R68)*Q$14</f>
        <v>842396.58387344703</v>
      </c>
      <c r="R129" s="106">
        <f>('CBA Inputs'!S$65-'CBA Inputs'!S68)*R$14</f>
        <v>2110023.4342529178</v>
      </c>
      <c r="S129" s="106">
        <f>('CBA Inputs'!T$65-'CBA Inputs'!T68)*S$14</f>
        <v>1205733.559034735</v>
      </c>
      <c r="T129" s="106">
        <f>('CBA Inputs'!U$65-'CBA Inputs'!U68)*T$14</f>
        <v>38781.381927661183</v>
      </c>
      <c r="U129" s="106">
        <f>('CBA Inputs'!V$65-'CBA Inputs'!V68)*U$14</f>
        <v>-467332.79276585579</v>
      </c>
      <c r="V129" s="106">
        <f>('CBA Inputs'!W$65-'CBA Inputs'!W68)*V$14</f>
        <v>5.5006563055550046</v>
      </c>
      <c r="W129" s="106">
        <f>('CBA Inputs'!X$65-'CBA Inputs'!X68)*W$14</f>
        <v>5.8249153283949191</v>
      </c>
      <c r="X129" s="106">
        <f>('CBA Inputs'!Y$65-'CBA Inputs'!Y68)*X$14</f>
        <v>79618.823200371116</v>
      </c>
      <c r="Y129" s="106">
        <f>('CBA Inputs'!Z$65-'CBA Inputs'!Z68)*Y$14</f>
        <v>-1758939.0792761785</v>
      </c>
      <c r="Z129" s="106">
        <f>('CBA Inputs'!AA$65-'CBA Inputs'!AA68)*Z$14</f>
        <v>-2867051.6901105223</v>
      </c>
      <c r="AA129" s="106">
        <f>('CBA Inputs'!AB$65-'CBA Inputs'!AB68)*AA$14</f>
        <v>-2253990.2899387926</v>
      </c>
      <c r="AB129" s="106">
        <f>('CBA Inputs'!AC$65-'CBA Inputs'!AC68)*AB$14</f>
        <v>-158091.11291104183</v>
      </c>
      <c r="AC129" s="106">
        <f>('CBA Inputs'!AD$65-'CBA Inputs'!AD68)*AC$14</f>
        <v>1322192.4587380737</v>
      </c>
      <c r="AD129" s="106">
        <f>('CBA Inputs'!AE$65-'CBA Inputs'!AE68)*AD$14</f>
        <v>8.7029457164792934</v>
      </c>
      <c r="AE129" s="106">
        <f>('CBA Inputs'!AF$65-'CBA Inputs'!AF68)*AE$14</f>
        <v>0</v>
      </c>
      <c r="AF129" s="106">
        <f>('CBA Inputs'!AG$65-'CBA Inputs'!AG68)*AF$14</f>
        <v>0</v>
      </c>
      <c r="AG129" s="106">
        <f>('CBA Inputs'!AH$65-'CBA Inputs'!AH68)*AG$14</f>
        <v>0</v>
      </c>
      <c r="AH129" s="106">
        <f>('CBA Inputs'!AI$65-'CBA Inputs'!AI68)*AH$14</f>
        <v>0</v>
      </c>
    </row>
    <row r="130" spans="2:34" x14ac:dyDescent="0.25">
      <c r="B130" s="114" t="str">
        <f>'Option inputs'!$C$18</f>
        <v>Option 1D</v>
      </c>
      <c r="C130" s="163" t="s">
        <v>35</v>
      </c>
      <c r="D130" s="123">
        <f>NPV(DiscountRate_ACTIVE,E130:AH130)/(1+DiscountRate_ACTIVE)^(FirstYear-BaseYear-2)*'Option inputs'!$F$15</f>
        <v>-7266519.3097975766</v>
      </c>
      <c r="E130" s="106">
        <f>('CBA Inputs'!F$65-'CBA Inputs'!F69)*E$14</f>
        <v>0</v>
      </c>
      <c r="F130" s="106">
        <f>('CBA Inputs'!G$65-'CBA Inputs'!G69)*F$14</f>
        <v>0.23157958686351776</v>
      </c>
      <c r="G130" s="106">
        <f>('CBA Inputs'!H$65-'CBA Inputs'!H69)*G$14</f>
        <v>0.24504583887755871</v>
      </c>
      <c r="H130" s="106">
        <f>('CBA Inputs'!I$65-'CBA Inputs'!I69)*H$14</f>
        <v>1163244.0403380096</v>
      </c>
      <c r="I130" s="106">
        <f>('CBA Inputs'!J$65-'CBA Inputs'!J69)*I$14</f>
        <v>-2840384.1000192389</v>
      </c>
      <c r="J130" s="106">
        <f>('CBA Inputs'!K$65-'CBA Inputs'!K69)*J$14</f>
        <v>-7470361.9328609779</v>
      </c>
      <c r="K130" s="106">
        <f>('CBA Inputs'!L$65-'CBA Inputs'!L69)*K$14</f>
        <v>0.34719625146535638</v>
      </c>
      <c r="L130" s="106">
        <f>('CBA Inputs'!M$65-'CBA Inputs'!M69)*L$14</f>
        <v>0.36787757087242001</v>
      </c>
      <c r="M130" s="106">
        <f>('CBA Inputs'!N$65-'CBA Inputs'!N69)*M$14</f>
        <v>-2289631.9402113259</v>
      </c>
      <c r="N130" s="106">
        <f>('CBA Inputs'!O$65-'CBA Inputs'!O69)*N$14</f>
        <v>0.41242810307675626</v>
      </c>
      <c r="O130" s="106">
        <f>('CBA Inputs'!P$65-'CBA Inputs'!P69)*O$14</f>
        <v>0.4594481570638278</v>
      </c>
      <c r="P130" s="106">
        <f>('CBA Inputs'!Q$65-'CBA Inputs'!Q69)*P$14</f>
        <v>1482.3874927088618</v>
      </c>
      <c r="Q130" s="106">
        <f>('CBA Inputs'!R$65-'CBA Inputs'!R69)*Q$14</f>
        <v>436626.50157649524</v>
      </c>
      <c r="R130" s="106">
        <f>('CBA Inputs'!S$65-'CBA Inputs'!S69)*R$14</f>
        <v>1868455.8734170496</v>
      </c>
      <c r="S130" s="106">
        <f>('CBA Inputs'!T$65-'CBA Inputs'!T69)*S$14</f>
        <v>979573.32451786846</v>
      </c>
      <c r="T130" s="106">
        <f>('CBA Inputs'!U$65-'CBA Inputs'!U69)*T$14</f>
        <v>38777.051384895887</v>
      </c>
      <c r="U130" s="106">
        <f>('CBA Inputs'!V$65-'CBA Inputs'!V69)*U$14</f>
        <v>-394475.24767658114</v>
      </c>
      <c r="V130" s="106">
        <f>('CBA Inputs'!W$65-'CBA Inputs'!W69)*V$14</f>
        <v>0.65011647510679715</v>
      </c>
      <c r="W130" s="106">
        <f>('CBA Inputs'!X$65-'CBA Inputs'!X69)*W$14</f>
        <v>0.68818410336758618</v>
      </c>
      <c r="X130" s="106">
        <f>('CBA Inputs'!Y$65-'CBA Inputs'!Y69)*X$14</f>
        <v>48088.510660793632</v>
      </c>
      <c r="Y130" s="106">
        <f>('CBA Inputs'!Z$65-'CBA Inputs'!Z69)*Y$14</f>
        <v>202019.2013183118</v>
      </c>
      <c r="Z130" s="106">
        <f>('CBA Inputs'!AA$65-'CBA Inputs'!AA69)*Z$14</f>
        <v>-343198.48489266634</v>
      </c>
      <c r="AA130" s="106">
        <f>('CBA Inputs'!AB$65-'CBA Inputs'!AB69)*AA$14</f>
        <v>-366085.93520385027</v>
      </c>
      <c r="AB130" s="106">
        <f>('CBA Inputs'!AC$65-'CBA Inputs'!AC69)*AB$14</f>
        <v>-143326.02889977768</v>
      </c>
      <c r="AC130" s="106">
        <f>('CBA Inputs'!AD$65-'CBA Inputs'!AD69)*AC$14</f>
        <v>922901.88277152553</v>
      </c>
      <c r="AD130" s="106">
        <f>('CBA Inputs'!AE$65-'CBA Inputs'!AE69)*AD$14</f>
        <v>1.0184050095473101</v>
      </c>
      <c r="AE130" s="106">
        <f>('CBA Inputs'!AF$65-'CBA Inputs'!AF69)*AE$14</f>
        <v>0</v>
      </c>
      <c r="AF130" s="106">
        <f>('CBA Inputs'!AG$65-'CBA Inputs'!AG69)*AF$14</f>
        <v>0</v>
      </c>
      <c r="AG130" s="106">
        <f>('CBA Inputs'!AH$65-'CBA Inputs'!AH69)*AG$14</f>
        <v>0</v>
      </c>
      <c r="AH130" s="106">
        <f>('CBA Inputs'!AI$65-'CBA Inputs'!AI69)*AH$14</f>
        <v>0</v>
      </c>
    </row>
    <row r="131" spans="2:34" x14ac:dyDescent="0.25">
      <c r="B131" s="114"/>
      <c r="C131" s="114"/>
      <c r="D131" s="123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</row>
    <row r="132" spans="2:34" ht="13" x14ac:dyDescent="0.3">
      <c r="B132" s="122" t="str">
        <f>B101</f>
        <v>Difference in timing of unrelated expenditure</v>
      </c>
      <c r="C132" s="122"/>
      <c r="D132" s="123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</row>
    <row r="133" spans="2:34" x14ac:dyDescent="0.25">
      <c r="B133" s="114" t="str">
        <f>'Option inputs'!$C$15</f>
        <v>Option 1A</v>
      </c>
      <c r="C133" s="163" t="s">
        <v>35</v>
      </c>
      <c r="D133" s="123">
        <f>NPV(DiscountRate_ACTIVE,E133:AH133)/(1+DiscountRate_ACTIVE)^(FirstYear-BaseYear-2)*'Option inputs'!$F$15</f>
        <v>39482133.726651855</v>
      </c>
      <c r="E133" s="106">
        <f>('CBA Inputs'!F$95-'CBA Inputs'!F96)*E$14</f>
        <v>0</v>
      </c>
      <c r="F133" s="106">
        <f>('CBA Inputs'!G$95-'CBA Inputs'!G96)*F$14</f>
        <v>25.265572588269016</v>
      </c>
      <c r="G133" s="106">
        <f>('CBA Inputs'!H$95-'CBA Inputs'!H96)*G$14</f>
        <v>0.96056420577341584</v>
      </c>
      <c r="H133" s="106">
        <f>('CBA Inputs'!I$95-'CBA Inputs'!I96)*H$14</f>
        <v>-14053697.885391563</v>
      </c>
      <c r="I133" s="106">
        <f>('CBA Inputs'!J$95-'CBA Inputs'!J96)*I$14</f>
        <v>23323090.379980382</v>
      </c>
      <c r="J133" s="106">
        <f>('CBA Inputs'!K$95-'CBA Inputs'!K96)*J$14</f>
        <v>10059644.623177469</v>
      </c>
      <c r="K133" s="106">
        <f>('CBA Inputs'!L$95-'CBA Inputs'!L96)*K$14</f>
        <v>30887605.16653046</v>
      </c>
      <c r="L133" s="106">
        <f>('CBA Inputs'!M$95-'CBA Inputs'!M96)*L$14</f>
        <v>-979815.96352666616</v>
      </c>
      <c r="M133" s="106">
        <f>('CBA Inputs'!N$95-'CBA Inputs'!N96)*M$14</f>
        <v>-10697934.954119563</v>
      </c>
      <c r="N133" s="106">
        <f>('CBA Inputs'!O$95-'CBA Inputs'!O96)*N$14</f>
        <v>14337512.664474249</v>
      </c>
      <c r="O133" s="106">
        <f>('CBA Inputs'!P$95-'CBA Inputs'!P96)*O$14</f>
        <v>-10209369.218524635</v>
      </c>
      <c r="P133" s="106">
        <f>('CBA Inputs'!Q$95-'CBA Inputs'!Q96)*P$14</f>
        <v>3442018.0553201437</v>
      </c>
      <c r="Q133" s="106">
        <f>('CBA Inputs'!R$95-'CBA Inputs'!R96)*Q$14</f>
        <v>8708055.6901774406</v>
      </c>
      <c r="R133" s="106">
        <f>('CBA Inputs'!S$95-'CBA Inputs'!S96)*R$14</f>
        <v>11798169.784752131</v>
      </c>
      <c r="S133" s="106">
        <f>('CBA Inputs'!T$95-'CBA Inputs'!T96)*S$14</f>
        <v>-8922531.6258702017</v>
      </c>
      <c r="T133" s="106">
        <f>('CBA Inputs'!U$95-'CBA Inputs'!U96)*T$14</f>
        <v>32.889193541294752</v>
      </c>
      <c r="U133" s="106">
        <f>('CBA Inputs'!V$95-'CBA Inputs'!V96)*U$14</f>
        <v>-11815619.385590315</v>
      </c>
      <c r="V133" s="106">
        <f>('CBA Inputs'!W$95-'CBA Inputs'!W96)*V$14</f>
        <v>-11964920.117201805</v>
      </c>
      <c r="W133" s="106">
        <f>('CBA Inputs'!X$95-'CBA Inputs'!X96)*W$14</f>
        <v>-4546399.0410971642</v>
      </c>
      <c r="X133" s="106">
        <f>('CBA Inputs'!Y$95-'CBA Inputs'!Y96)*X$14</f>
        <v>-7655469.3854084462</v>
      </c>
      <c r="Y133" s="106">
        <f>('CBA Inputs'!Z$95-'CBA Inputs'!Z96)*Y$14</f>
        <v>16168668.895594001</v>
      </c>
      <c r="Z133" s="106">
        <f>('CBA Inputs'!AA$95-'CBA Inputs'!AA96)*Z$14</f>
        <v>11663424.390214324</v>
      </c>
      <c r="AA133" s="106">
        <f>('CBA Inputs'!AB$95-'CBA Inputs'!AB96)*AA$14</f>
        <v>-13561377.515490741</v>
      </c>
      <c r="AB133" s="106">
        <f>('CBA Inputs'!AC$95-'CBA Inputs'!AC96)*AB$14</f>
        <v>0</v>
      </c>
      <c r="AC133" s="106">
        <f>('CBA Inputs'!AD$95-'CBA Inputs'!AD96)*AC$14</f>
        <v>31019667.77852118</v>
      </c>
      <c r="AD133" s="106">
        <f>('CBA Inputs'!AE$95-'CBA Inputs'!AE96)*AD$14</f>
        <v>-5333088.5127857327</v>
      </c>
      <c r="AE133" s="106">
        <f>('CBA Inputs'!AF$95-'CBA Inputs'!AF96)*AE$14</f>
        <v>0</v>
      </c>
      <c r="AF133" s="106">
        <f>('CBA Inputs'!AG$95-'CBA Inputs'!AG96)*AF$14</f>
        <v>0</v>
      </c>
      <c r="AG133" s="106">
        <f>('CBA Inputs'!AH$95-'CBA Inputs'!AH96)*AG$14</f>
        <v>0</v>
      </c>
      <c r="AH133" s="106">
        <f>('CBA Inputs'!AI$95-'CBA Inputs'!AI96)*AH$14</f>
        <v>0</v>
      </c>
    </row>
    <row r="134" spans="2:34" x14ac:dyDescent="0.25">
      <c r="B134" s="114" t="str">
        <f>'Option inputs'!$C$16</f>
        <v>Option 1B</v>
      </c>
      <c r="C134" s="163" t="s">
        <v>35</v>
      </c>
      <c r="D134" s="123">
        <f>NPV(DiscountRate_ACTIVE,E134:AH134)/(1+DiscountRate_ACTIVE)^(FirstYear-BaseYear-2)*'Option inputs'!$F$15</f>
        <v>34763804.861335568</v>
      </c>
      <c r="E134" s="106">
        <f>('CBA Inputs'!F$95-'CBA Inputs'!F97)*E$14</f>
        <v>0</v>
      </c>
      <c r="F134" s="106">
        <f>('CBA Inputs'!G$95-'CBA Inputs'!G97)*F$14</f>
        <v>-11.894910075097528</v>
      </c>
      <c r="G134" s="106">
        <f>('CBA Inputs'!H$95-'CBA Inputs'!H97)*G$14</f>
        <v>-0.39636584767954619</v>
      </c>
      <c r="H134" s="106">
        <f>('CBA Inputs'!I$95-'CBA Inputs'!I97)*H$14</f>
        <v>915298.94003993273</v>
      </c>
      <c r="I134" s="106">
        <f>('CBA Inputs'!J$95-'CBA Inputs'!J97)*I$14</f>
        <v>35678108.219570354</v>
      </c>
      <c r="J134" s="106">
        <f>('CBA Inputs'!K$95-'CBA Inputs'!K97)*J$14</f>
        <v>-21620644.482246518</v>
      </c>
      <c r="K134" s="106">
        <f>('CBA Inputs'!L$95-'CBA Inputs'!L97)*K$14</f>
        <v>23201910.139443494</v>
      </c>
      <c r="L134" s="106">
        <f>('CBA Inputs'!M$95-'CBA Inputs'!M97)*L$14</f>
        <v>-582874.68136140704</v>
      </c>
      <c r="M134" s="106">
        <f>('CBA Inputs'!N$95-'CBA Inputs'!N97)*M$14</f>
        <v>-8676872.2623624802</v>
      </c>
      <c r="N134" s="106">
        <f>('CBA Inputs'!O$95-'CBA Inputs'!O97)*N$14</f>
        <v>19976492.868228972</v>
      </c>
      <c r="O134" s="106">
        <f>('CBA Inputs'!P$95-'CBA Inputs'!P97)*O$14</f>
        <v>-21842277.215133071</v>
      </c>
      <c r="P134" s="106">
        <f>('CBA Inputs'!Q$95-'CBA Inputs'!Q97)*P$14</f>
        <v>-1611768.1904956102</v>
      </c>
      <c r="Q134" s="106">
        <f>('CBA Inputs'!R$95-'CBA Inputs'!R97)*Q$14</f>
        <v>16088212.836558521</v>
      </c>
      <c r="R134" s="106">
        <f>('CBA Inputs'!S$95-'CBA Inputs'!S97)*R$14</f>
        <v>5279368.4757249951</v>
      </c>
      <c r="S134" s="106">
        <f>('CBA Inputs'!T$95-'CBA Inputs'!T97)*S$14</f>
        <v>-12649881.549047891</v>
      </c>
      <c r="T134" s="106">
        <f>('CBA Inputs'!U$95-'CBA Inputs'!U97)*T$14</f>
        <v>-13.897114662246523</v>
      </c>
      <c r="U134" s="106">
        <f>('CBA Inputs'!V$95-'CBA Inputs'!V97)*U$14</f>
        <v>4631046.3202466965</v>
      </c>
      <c r="V134" s="106">
        <f>('CBA Inputs'!W$95-'CBA Inputs'!W97)*V$14</f>
        <v>-13660666.859416842</v>
      </c>
      <c r="W134" s="106">
        <f>('CBA Inputs'!X$95-'CBA Inputs'!X97)*W$14</f>
        <v>10672468.931742102</v>
      </c>
      <c r="X134" s="106">
        <f>('CBA Inputs'!Y$95-'CBA Inputs'!Y97)*X$14</f>
        <v>-7335926.4960550666</v>
      </c>
      <c r="Y134" s="106">
        <f>('CBA Inputs'!Z$95-'CBA Inputs'!Z97)*Y$14</f>
        <v>2009794.6333854198</v>
      </c>
      <c r="Z134" s="106">
        <f>('CBA Inputs'!AA$95-'CBA Inputs'!AA97)*Z$14</f>
        <v>21654699.179302216</v>
      </c>
      <c r="AA134" s="106">
        <f>('CBA Inputs'!AB$95-'CBA Inputs'!AB97)*AA$14</f>
        <v>-13345363.689563274</v>
      </c>
      <c r="AB134" s="106">
        <f>('CBA Inputs'!AC$95-'CBA Inputs'!AC97)*AB$14</f>
        <v>0</v>
      </c>
      <c r="AC134" s="106">
        <f>('CBA Inputs'!AD$95-'CBA Inputs'!AD97)*AC$14</f>
        <v>20155487.921651244</v>
      </c>
      <c r="AD134" s="106">
        <f>('CBA Inputs'!AE$95-'CBA Inputs'!AE97)*AD$14</f>
        <v>-3381387.8314615786</v>
      </c>
      <c r="AE134" s="106">
        <f>('CBA Inputs'!AF$95-'CBA Inputs'!AF97)*AE$14</f>
        <v>0</v>
      </c>
      <c r="AF134" s="106">
        <f>('CBA Inputs'!AG$95-'CBA Inputs'!AG97)*AF$14</f>
        <v>0</v>
      </c>
      <c r="AG134" s="106">
        <f>('CBA Inputs'!AH$95-'CBA Inputs'!AH97)*AG$14</f>
        <v>0</v>
      </c>
      <c r="AH134" s="106">
        <f>('CBA Inputs'!AI$95-'CBA Inputs'!AI97)*AH$14</f>
        <v>0</v>
      </c>
    </row>
    <row r="135" spans="2:34" x14ac:dyDescent="0.25">
      <c r="B135" s="114" t="str">
        <f>'Option inputs'!$C$17</f>
        <v>Option 1C</v>
      </c>
      <c r="C135" s="163" t="s">
        <v>35</v>
      </c>
      <c r="D135" s="123">
        <f>NPV(DiscountRate_ACTIVE,E135:AH135)/(1+DiscountRate_ACTIVE)^(FirstYear-BaseYear-2)*'Option inputs'!$F$15</f>
        <v>-9094246.9011167642</v>
      </c>
      <c r="E135" s="106">
        <f>('CBA Inputs'!F$95-'CBA Inputs'!F98)*E$14</f>
        <v>0</v>
      </c>
      <c r="F135" s="106">
        <f>('CBA Inputs'!G$95-'CBA Inputs'!G98)*F$14</f>
        <v>27.256019015891106</v>
      </c>
      <c r="G135" s="106">
        <f>('CBA Inputs'!H$95-'CBA Inputs'!H98)*G$14</f>
        <v>1.0337366681813891</v>
      </c>
      <c r="H135" s="106">
        <f>('CBA Inputs'!I$95-'CBA Inputs'!I98)*H$14</f>
        <v>-42786404.294219747</v>
      </c>
      <c r="I135" s="106">
        <f>('CBA Inputs'!J$95-'CBA Inputs'!J98)*I$14</f>
        <v>27645746.999238484</v>
      </c>
      <c r="J135" s="106">
        <f>('CBA Inputs'!K$95-'CBA Inputs'!K98)*J$14</f>
        <v>19577936.216959357</v>
      </c>
      <c r="K135" s="106">
        <f>('CBA Inputs'!L$95-'CBA Inputs'!L98)*K$14</f>
        <v>-5641986.6549310461</v>
      </c>
      <c r="L135" s="106">
        <f>('CBA Inputs'!M$95-'CBA Inputs'!M98)*L$14</f>
        <v>56582.019390851259</v>
      </c>
      <c r="M135" s="106">
        <f>('CBA Inputs'!N$95-'CBA Inputs'!N98)*M$14</f>
        <v>3474202.5505692959</v>
      </c>
      <c r="N135" s="106">
        <f>('CBA Inputs'!O$95-'CBA Inputs'!O98)*N$14</f>
        <v>-6209400.268956244</v>
      </c>
      <c r="O135" s="106">
        <f>('CBA Inputs'!P$95-'CBA Inputs'!P98)*O$14</f>
        <v>5059243.3684781194</v>
      </c>
      <c r="P135" s="106">
        <f>('CBA Inputs'!Q$95-'CBA Inputs'!Q98)*P$14</f>
        <v>-2015645.5146661401</v>
      </c>
      <c r="Q135" s="106">
        <f>('CBA Inputs'!R$95-'CBA Inputs'!R98)*Q$14</f>
        <v>-14868536.36109066</v>
      </c>
      <c r="R135" s="106">
        <f>('CBA Inputs'!S$95-'CBA Inputs'!S98)*R$14</f>
        <v>5189390.8980199099</v>
      </c>
      <c r="S135" s="106">
        <f>('CBA Inputs'!T$95-'CBA Inputs'!T98)*S$14</f>
        <v>6399750.8487447649</v>
      </c>
      <c r="T135" s="106">
        <f>('CBA Inputs'!U$95-'CBA Inputs'!U98)*T$14</f>
        <v>33.588315309341652</v>
      </c>
      <c r="U135" s="106">
        <f>('CBA Inputs'!V$95-'CBA Inputs'!V98)*U$14</f>
        <v>-14147553.758974314</v>
      </c>
      <c r="V135" s="106">
        <f>('CBA Inputs'!W$95-'CBA Inputs'!W98)*V$14</f>
        <v>1096269.463983655</v>
      </c>
      <c r="W135" s="106">
        <f>('CBA Inputs'!X$95-'CBA Inputs'!X98)*W$14</f>
        <v>10344258.840829134</v>
      </c>
      <c r="X135" s="106">
        <f>('CBA Inputs'!Y$95-'CBA Inputs'!Y98)*X$14</f>
        <v>-1563315.7106094062</v>
      </c>
      <c r="Y135" s="106">
        <f>('CBA Inputs'!Z$95-'CBA Inputs'!Z98)*Y$14</f>
        <v>-1130592.3497184515</v>
      </c>
      <c r="Z135" s="106">
        <f>('CBA Inputs'!AA$95-'CBA Inputs'!AA98)*Z$14</f>
        <v>-5461231.35744524</v>
      </c>
      <c r="AA135" s="106">
        <f>('CBA Inputs'!AB$95-'CBA Inputs'!AB98)*AA$14</f>
        <v>3668983.8362102509</v>
      </c>
      <c r="AB135" s="106">
        <f>('CBA Inputs'!AC$95-'CBA Inputs'!AC98)*AB$14</f>
        <v>0</v>
      </c>
      <c r="AC135" s="106">
        <f>('CBA Inputs'!AD$95-'CBA Inputs'!AD98)*AC$14</f>
        <v>-626582.23407006264</v>
      </c>
      <c r="AD135" s="106">
        <f>('CBA Inputs'!AE$95-'CBA Inputs'!AE98)*AD$14</f>
        <v>-875932.4820895195</v>
      </c>
      <c r="AE135" s="106">
        <f>('CBA Inputs'!AF$95-'CBA Inputs'!AF98)*AE$14</f>
        <v>0</v>
      </c>
      <c r="AF135" s="106">
        <f>('CBA Inputs'!AG$95-'CBA Inputs'!AG98)*AF$14</f>
        <v>0</v>
      </c>
      <c r="AG135" s="106">
        <f>('CBA Inputs'!AH$95-'CBA Inputs'!AH98)*AG$14</f>
        <v>0</v>
      </c>
      <c r="AH135" s="106">
        <f>('CBA Inputs'!AI$95-'CBA Inputs'!AI98)*AH$14</f>
        <v>0</v>
      </c>
    </row>
    <row r="136" spans="2:34" x14ac:dyDescent="0.25">
      <c r="B136" s="114" t="str">
        <f>'Option inputs'!$C$18</f>
        <v>Option 1D</v>
      </c>
      <c r="C136" s="163" t="s">
        <v>35</v>
      </c>
      <c r="D136" s="123">
        <f>NPV(DiscountRate_ACTIVE,E136:AH136)/(1+DiscountRate_ACTIVE)^(FirstYear-BaseYear-2)*'Option inputs'!$F$15</f>
        <v>-4777975.9183316585</v>
      </c>
      <c r="E136" s="106">
        <f>('CBA Inputs'!F$95-'CBA Inputs'!F99)*E$14</f>
        <v>0</v>
      </c>
      <c r="F136" s="106">
        <f>('CBA Inputs'!G$95-'CBA Inputs'!G99)*F$14</f>
        <v>3.2694021933671777</v>
      </c>
      <c r="G136" s="106">
        <f>('CBA Inputs'!H$95-'CBA Inputs'!H99)*G$14</f>
        <v>0.21370231042400523</v>
      </c>
      <c r="H136" s="106">
        <f>('CBA Inputs'!I$95-'CBA Inputs'!I99)*H$14</f>
        <v>-26741590.212552786</v>
      </c>
      <c r="I136" s="106">
        <f>('CBA Inputs'!J$95-'CBA Inputs'!J99)*I$14</f>
        <v>15072462.455292858</v>
      </c>
      <c r="J136" s="106">
        <f>('CBA Inputs'!K$95-'CBA Inputs'!K99)*J$14</f>
        <v>16651372.413089633</v>
      </c>
      <c r="K136" s="106">
        <f>('CBA Inputs'!L$95-'CBA Inputs'!L99)*K$14</f>
        <v>-5357155.3916379586</v>
      </c>
      <c r="L136" s="106">
        <f>('CBA Inputs'!M$95-'CBA Inputs'!M99)*L$14</f>
        <v>1288441.6954286397</v>
      </c>
      <c r="M136" s="106">
        <f>('CBA Inputs'!N$95-'CBA Inputs'!N99)*M$14</f>
        <v>-1969145.4926067591</v>
      </c>
      <c r="N136" s="106">
        <f>('CBA Inputs'!O$95-'CBA Inputs'!O99)*N$14</f>
        <v>119064.70293629169</v>
      </c>
      <c r="O136" s="106">
        <f>('CBA Inputs'!P$95-'CBA Inputs'!P99)*O$14</f>
        <v>4466403.9196932018</v>
      </c>
      <c r="P136" s="106">
        <f>('CBA Inputs'!Q$95-'CBA Inputs'!Q99)*P$14</f>
        <v>-4238781.5910739303</v>
      </c>
      <c r="Q136" s="106">
        <f>('CBA Inputs'!R$95-'CBA Inputs'!R99)*Q$14</f>
        <v>-5591000.3034416437</v>
      </c>
      <c r="R136" s="106">
        <f>('CBA Inputs'!S$95-'CBA Inputs'!S99)*R$14</f>
        <v>10621805.421616554</v>
      </c>
      <c r="S136" s="106">
        <f>('CBA Inputs'!T$95-'CBA Inputs'!T99)*S$14</f>
        <v>856128.59510160983</v>
      </c>
      <c r="T136" s="106">
        <f>('CBA Inputs'!U$95-'CBA Inputs'!U99)*T$14</f>
        <v>8.1318123476624287</v>
      </c>
      <c r="U136" s="106">
        <f>('CBA Inputs'!V$95-'CBA Inputs'!V99)*U$14</f>
        <v>-19559440.423547983</v>
      </c>
      <c r="V136" s="106">
        <f>('CBA Inputs'!W$95-'CBA Inputs'!W99)*V$14</f>
        <v>-5616785.0721806288</v>
      </c>
      <c r="W136" s="106">
        <f>('CBA Inputs'!X$95-'CBA Inputs'!X99)*W$14</f>
        <v>12091233.915955901</v>
      </c>
      <c r="X136" s="106">
        <f>('CBA Inputs'!Y$95-'CBA Inputs'!Y99)*X$14</f>
        <v>-1590421.9722311348</v>
      </c>
      <c r="Y136" s="106">
        <f>('CBA Inputs'!Z$95-'CBA Inputs'!Z99)*Y$14</f>
        <v>-1487835.3485007286</v>
      </c>
      <c r="Z136" s="106">
        <f>('CBA Inputs'!AA$95-'CBA Inputs'!AA99)*Z$14</f>
        <v>-165032.18641328812</v>
      </c>
      <c r="AA136" s="106">
        <f>('CBA Inputs'!AB$95-'CBA Inputs'!AB99)*AA$14</f>
        <v>5262351.3417079747</v>
      </c>
      <c r="AB136" s="106">
        <f>('CBA Inputs'!AC$95-'CBA Inputs'!AC99)*AB$14</f>
        <v>0</v>
      </c>
      <c r="AC136" s="106">
        <f>('CBA Inputs'!AD$95-'CBA Inputs'!AD99)*AC$14</f>
        <v>78873.031751394272</v>
      </c>
      <c r="AD136" s="106">
        <f>('CBA Inputs'!AE$95-'CBA Inputs'!AE99)*AD$14</f>
        <v>-310289.70397883654</v>
      </c>
      <c r="AE136" s="106">
        <f>('CBA Inputs'!AF$95-'CBA Inputs'!AF99)*AE$14</f>
        <v>0</v>
      </c>
      <c r="AF136" s="106">
        <f>('CBA Inputs'!AG$95-'CBA Inputs'!AG99)*AF$14</f>
        <v>0</v>
      </c>
      <c r="AG136" s="106">
        <f>('CBA Inputs'!AH$95-'CBA Inputs'!AH99)*AG$14</f>
        <v>0</v>
      </c>
      <c r="AH136" s="106">
        <f>('CBA Inputs'!AI$95-'CBA Inputs'!AI99)*AH$14</f>
        <v>0</v>
      </c>
    </row>
    <row r="137" spans="2:34" x14ac:dyDescent="0.25">
      <c r="B137" s="114"/>
      <c r="C137" s="114"/>
      <c r="D137" s="123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</row>
    <row r="138" spans="2:34" ht="13" x14ac:dyDescent="0.3">
      <c r="B138" s="122" t="str">
        <f>B107</f>
        <v xml:space="preserve">Fuel consumption from generation dispatch </v>
      </c>
      <c r="C138" s="122"/>
      <c r="D138" s="123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</row>
    <row r="139" spans="2:34" x14ac:dyDescent="0.25">
      <c r="B139" s="114" t="str">
        <f>'Option inputs'!$C$15</f>
        <v>Option 1A</v>
      </c>
      <c r="C139" s="163" t="s">
        <v>35</v>
      </c>
      <c r="D139" s="123">
        <f>NPV(DiscountRate_ACTIVE,E139:AH139)/(1+DiscountRate_ACTIVE)^(FirstYear-BaseYear-2)*'Option inputs'!$F$15</f>
        <v>114642151.1037425</v>
      </c>
      <c r="E139" s="106">
        <f>('CBA Inputs'!F$125-'CBA Inputs'!F126)*E$14</f>
        <v>0</v>
      </c>
      <c r="F139" s="106">
        <f>('CBA Inputs'!G$125-'CBA Inputs'!G126)*F$14</f>
        <v>9.9391613006591797</v>
      </c>
      <c r="G139" s="106">
        <f>('CBA Inputs'!H$125-'CBA Inputs'!H126)*G$14</f>
        <v>-78620.157710075378</v>
      </c>
      <c r="H139" s="106">
        <f>('CBA Inputs'!I$125-'CBA Inputs'!I126)*H$14</f>
        <v>8181177.0836019516</v>
      </c>
      <c r="I139" s="106">
        <f>('CBA Inputs'!J$125-'CBA Inputs'!J126)*I$14</f>
        <v>-2576863.7278752327</v>
      </c>
      <c r="J139" s="106">
        <f>('CBA Inputs'!K$125-'CBA Inputs'!K126)*J$14</f>
        <v>-4874870.766980648</v>
      </c>
      <c r="K139" s="106">
        <f>('CBA Inputs'!L$125-'CBA Inputs'!L126)*K$14</f>
        <v>120112.71978902817</v>
      </c>
      <c r="L139" s="106">
        <f>('CBA Inputs'!M$125-'CBA Inputs'!M126)*L$14</f>
        <v>1963968.9694223404</v>
      </c>
      <c r="M139" s="106">
        <f>('CBA Inputs'!N$125-'CBA Inputs'!N126)*M$14</f>
        <v>-2438501.9537038803</v>
      </c>
      <c r="N139" s="106">
        <f>('CBA Inputs'!O$125-'CBA Inputs'!O126)*N$14</f>
        <v>2959102.5227527618</v>
      </c>
      <c r="O139" s="106">
        <f>('CBA Inputs'!P$125-'CBA Inputs'!P126)*O$14</f>
        <v>2536954.0451111794</v>
      </c>
      <c r="P139" s="106">
        <f>('CBA Inputs'!Q$125-'CBA Inputs'!Q126)*P$14</f>
        <v>7317844.7599484921</v>
      </c>
      <c r="Q139" s="106">
        <f>('CBA Inputs'!R$125-'CBA Inputs'!R126)*Q$14</f>
        <v>8843872.0611104965</v>
      </c>
      <c r="R139" s="106">
        <f>('CBA Inputs'!S$125-'CBA Inputs'!S126)*R$14</f>
        <v>5415772.9446520805</v>
      </c>
      <c r="S139" s="106">
        <f>('CBA Inputs'!T$125-'CBA Inputs'!T126)*S$14</f>
        <v>11813230.745151043</v>
      </c>
      <c r="T139" s="106">
        <f>('CBA Inputs'!U$125-'CBA Inputs'!U126)*T$14</f>
        <v>-2031296.6520688534</v>
      </c>
      <c r="U139" s="106">
        <f>('CBA Inputs'!V$125-'CBA Inputs'!V126)*U$14</f>
        <v>1675535.4599475861</v>
      </c>
      <c r="V139" s="106">
        <f>('CBA Inputs'!W$125-'CBA Inputs'!W126)*V$14</f>
        <v>11235946.834727764</v>
      </c>
      <c r="W139" s="106">
        <f>('CBA Inputs'!X$125-'CBA Inputs'!X126)*W$14</f>
        <v>14805666.57749176</v>
      </c>
      <c r="X139" s="106">
        <f>('CBA Inputs'!Y$125-'CBA Inputs'!Y126)*X$14</f>
        <v>18759677.511432648</v>
      </c>
      <c r="Y139" s="106">
        <f>('CBA Inputs'!Z$125-'CBA Inputs'!Z126)*Y$14</f>
        <v>38074057.958554745</v>
      </c>
      <c r="Z139" s="106">
        <f>('CBA Inputs'!AA$125-'CBA Inputs'!AA126)*Z$14</f>
        <v>40883871.166213274</v>
      </c>
      <c r="AA139" s="106">
        <f>('CBA Inputs'!AB$125-'CBA Inputs'!AB126)*AA$14</f>
        <v>40930305.62166214</v>
      </c>
      <c r="AB139" s="106">
        <f>('CBA Inputs'!AC$125-'CBA Inputs'!AC126)*AB$14</f>
        <v>22223667.870717764</v>
      </c>
      <c r="AC139" s="106">
        <f>('CBA Inputs'!AD$125-'CBA Inputs'!AD126)*AC$14</f>
        <v>56600118.638538837</v>
      </c>
      <c r="AD139" s="106">
        <f>('CBA Inputs'!AE$125-'CBA Inputs'!AE126)*AD$14</f>
        <v>67236742.382143021</v>
      </c>
      <c r="AE139" s="106">
        <f>('CBA Inputs'!AF$125-'CBA Inputs'!AF126)*AE$14</f>
        <v>0</v>
      </c>
      <c r="AF139" s="106">
        <f>('CBA Inputs'!AG$125-'CBA Inputs'!AG126)*AF$14</f>
        <v>0</v>
      </c>
      <c r="AG139" s="106">
        <f>('CBA Inputs'!AH$125-'CBA Inputs'!AH126)*AG$14</f>
        <v>0</v>
      </c>
      <c r="AH139" s="106">
        <f>('CBA Inputs'!AI$125-'CBA Inputs'!AI126)*AH$14</f>
        <v>0</v>
      </c>
    </row>
    <row r="140" spans="2:34" x14ac:dyDescent="0.25">
      <c r="B140" s="114" t="str">
        <f>'Option inputs'!$C$16</f>
        <v>Option 1B</v>
      </c>
      <c r="C140" s="163" t="s">
        <v>35</v>
      </c>
      <c r="D140" s="123">
        <f>NPV(DiscountRate_ACTIVE,E140:AH140)/(1+DiscountRate_ACTIVE)^(FirstYear-BaseYear-2)*'Option inputs'!$F$15</f>
        <v>118440990.70081118</v>
      </c>
      <c r="E140" s="106">
        <f>('CBA Inputs'!F$125-'CBA Inputs'!F127)*E$14</f>
        <v>0</v>
      </c>
      <c r="F140" s="106">
        <f>('CBA Inputs'!G$125-'CBA Inputs'!G127)*F$14</f>
        <v>1.2772946357727051</v>
      </c>
      <c r="G140" s="106">
        <f>('CBA Inputs'!H$125-'CBA Inputs'!H127)*G$14</f>
        <v>21013.677929401398</v>
      </c>
      <c r="H140" s="106">
        <f>('CBA Inputs'!I$125-'CBA Inputs'!I127)*H$14</f>
        <v>6369353.2529444695</v>
      </c>
      <c r="I140" s="106">
        <f>('CBA Inputs'!J$125-'CBA Inputs'!J127)*I$14</f>
        <v>-1719531.1377053261</v>
      </c>
      <c r="J140" s="106">
        <f>('CBA Inputs'!K$125-'CBA Inputs'!K127)*J$14</f>
        <v>301163.937520504</v>
      </c>
      <c r="K140" s="106">
        <f>('CBA Inputs'!L$125-'CBA Inputs'!L127)*K$14</f>
        <v>1216085.532582283</v>
      </c>
      <c r="L140" s="106">
        <f>('CBA Inputs'!M$125-'CBA Inputs'!M127)*L$14</f>
        <v>2629715.0803031921</v>
      </c>
      <c r="M140" s="106">
        <f>('CBA Inputs'!N$125-'CBA Inputs'!N127)*M$14</f>
        <v>1641781.9891147614</v>
      </c>
      <c r="N140" s="106">
        <f>('CBA Inputs'!O$125-'CBA Inputs'!O127)*N$14</f>
        <v>2367808.646282196</v>
      </c>
      <c r="O140" s="106">
        <f>('CBA Inputs'!P$125-'CBA Inputs'!P127)*O$14</f>
        <v>1728019.344378233</v>
      </c>
      <c r="P140" s="106">
        <f>('CBA Inputs'!Q$125-'CBA Inputs'!Q127)*P$14</f>
        <v>5145124.8052959442</v>
      </c>
      <c r="Q140" s="106">
        <f>('CBA Inputs'!R$125-'CBA Inputs'!R127)*Q$14</f>
        <v>8824513.5981681347</v>
      </c>
      <c r="R140" s="106">
        <f>('CBA Inputs'!S$125-'CBA Inputs'!S127)*R$14</f>
        <v>10921236.171317577</v>
      </c>
      <c r="S140" s="106">
        <f>('CBA Inputs'!T$125-'CBA Inputs'!T127)*S$14</f>
        <v>11065494.036448479</v>
      </c>
      <c r="T140" s="106">
        <f>('CBA Inputs'!U$125-'CBA Inputs'!U127)*T$14</f>
        <v>5272671.5012056828</v>
      </c>
      <c r="U140" s="106">
        <f>('CBA Inputs'!V$125-'CBA Inputs'!V127)*U$14</f>
        <v>7641864.7080802917</v>
      </c>
      <c r="V140" s="106">
        <f>('CBA Inputs'!W$125-'CBA Inputs'!W127)*V$14</f>
        <v>8548837.253411293</v>
      </c>
      <c r="W140" s="106">
        <f>('CBA Inputs'!X$125-'CBA Inputs'!X127)*W$14</f>
        <v>13845292.226933241</v>
      </c>
      <c r="X140" s="106">
        <f>('CBA Inputs'!Y$125-'CBA Inputs'!Y127)*X$14</f>
        <v>17165335.999006748</v>
      </c>
      <c r="Y140" s="106">
        <f>('CBA Inputs'!Z$125-'CBA Inputs'!Z127)*Y$14</f>
        <v>37122809.972773552</v>
      </c>
      <c r="Z140" s="106">
        <f>('CBA Inputs'!AA$125-'CBA Inputs'!AA127)*Z$14</f>
        <v>41341294.26179266</v>
      </c>
      <c r="AA140" s="106">
        <f>('CBA Inputs'!AB$125-'CBA Inputs'!AB127)*AA$14</f>
        <v>31587701.655348778</v>
      </c>
      <c r="AB140" s="106">
        <f>('CBA Inputs'!AC$125-'CBA Inputs'!AC127)*AB$14</f>
        <v>21531221.221459627</v>
      </c>
      <c r="AC140" s="106">
        <f>('CBA Inputs'!AD$125-'CBA Inputs'!AD127)*AC$14</f>
        <v>47779785.208093166</v>
      </c>
      <c r="AD140" s="106">
        <f>('CBA Inputs'!AE$125-'CBA Inputs'!AE127)*AD$14</f>
        <v>58828683.221570969</v>
      </c>
      <c r="AE140" s="106">
        <f>('CBA Inputs'!AF$125-'CBA Inputs'!AF127)*AE$14</f>
        <v>0</v>
      </c>
      <c r="AF140" s="106">
        <f>('CBA Inputs'!AG$125-'CBA Inputs'!AG127)*AF$14</f>
        <v>0</v>
      </c>
      <c r="AG140" s="106">
        <f>('CBA Inputs'!AH$125-'CBA Inputs'!AH127)*AG$14</f>
        <v>0</v>
      </c>
      <c r="AH140" s="106">
        <f>('CBA Inputs'!AI$125-'CBA Inputs'!AI127)*AH$14</f>
        <v>0</v>
      </c>
    </row>
    <row r="141" spans="2:34" x14ac:dyDescent="0.25">
      <c r="B141" s="114" t="str">
        <f>'Option inputs'!$C$17</f>
        <v>Option 1C</v>
      </c>
      <c r="C141" s="163" t="s">
        <v>35</v>
      </c>
      <c r="D141" s="123">
        <f>NPV(DiscountRate_ACTIVE,E141:AH141)/(1+DiscountRate_ACTIVE)^(FirstYear-BaseYear-2)*'Option inputs'!$F$15</f>
        <v>-13188803.204059219</v>
      </c>
      <c r="E141" s="106">
        <f>('CBA Inputs'!F$125-'CBA Inputs'!F128)*E$14</f>
        <v>0</v>
      </c>
      <c r="F141" s="106">
        <f>('CBA Inputs'!G$125-'CBA Inputs'!G128)*F$14</f>
        <v>21.509235382080078</v>
      </c>
      <c r="G141" s="106">
        <f>('CBA Inputs'!H$125-'CBA Inputs'!H128)*G$14</f>
        <v>-79642.4361577034</v>
      </c>
      <c r="H141" s="106">
        <f>('CBA Inputs'!I$125-'CBA Inputs'!I128)*H$14</f>
        <v>11392277.78259325</v>
      </c>
      <c r="I141" s="106">
        <f>('CBA Inputs'!J$125-'CBA Inputs'!J128)*I$14</f>
        <v>-1797225.4625911713</v>
      </c>
      <c r="J141" s="106">
        <f>('CBA Inputs'!K$125-'CBA Inputs'!K128)*J$14</f>
        <v>-4859235.9759178162</v>
      </c>
      <c r="K141" s="106">
        <f>('CBA Inputs'!L$125-'CBA Inputs'!L128)*K$14</f>
        <v>-1573797.9663949013</v>
      </c>
      <c r="L141" s="106">
        <f>('CBA Inputs'!M$125-'CBA Inputs'!M128)*L$14</f>
        <v>-1960243.323908329</v>
      </c>
      <c r="M141" s="106">
        <f>('CBA Inputs'!N$125-'CBA Inputs'!N128)*M$14</f>
        <v>-6495478.3431620598</v>
      </c>
      <c r="N141" s="106">
        <f>('CBA Inputs'!O$125-'CBA Inputs'!O128)*N$14</f>
        <v>-2033998.3417921066</v>
      </c>
      <c r="O141" s="106">
        <f>('CBA Inputs'!P$125-'CBA Inputs'!P128)*O$14</f>
        <v>28282.15630531311</v>
      </c>
      <c r="P141" s="106">
        <f>('CBA Inputs'!Q$125-'CBA Inputs'!Q128)*P$14</f>
        <v>1963448.6597700119</v>
      </c>
      <c r="Q141" s="106">
        <f>('CBA Inputs'!R$125-'CBA Inputs'!R128)*Q$14</f>
        <v>-878155.12118315697</v>
      </c>
      <c r="R141" s="106">
        <f>('CBA Inputs'!S$125-'CBA Inputs'!S128)*R$14</f>
        <v>-6171087.3200674057</v>
      </c>
      <c r="S141" s="106">
        <f>('CBA Inputs'!T$125-'CBA Inputs'!T128)*S$14</f>
        <v>-5156855.9742269516</v>
      </c>
      <c r="T141" s="106">
        <f>('CBA Inputs'!U$125-'CBA Inputs'!U128)*T$14</f>
        <v>-10564859.727273941</v>
      </c>
      <c r="U141" s="106">
        <f>('CBA Inputs'!V$125-'CBA Inputs'!V128)*U$14</f>
        <v>-9483545.7555985451</v>
      </c>
      <c r="V141" s="106">
        <f>('CBA Inputs'!W$125-'CBA Inputs'!W128)*V$14</f>
        <v>2444507.3391427994</v>
      </c>
      <c r="W141" s="106">
        <f>('CBA Inputs'!X$125-'CBA Inputs'!X128)*W$14</f>
        <v>995471.10592198372</v>
      </c>
      <c r="X141" s="106">
        <f>('CBA Inputs'!Y$125-'CBA Inputs'!Y128)*X$14</f>
        <v>1827802.3354024887</v>
      </c>
      <c r="Y141" s="106">
        <f>('CBA Inputs'!Z$125-'CBA Inputs'!Z128)*Y$14</f>
        <v>649910.59236383438</v>
      </c>
      <c r="Z141" s="106">
        <f>('CBA Inputs'!AA$125-'CBA Inputs'!AA128)*Z$14</f>
        <v>-777581.05580639839</v>
      </c>
      <c r="AA141" s="106">
        <f>('CBA Inputs'!AB$125-'CBA Inputs'!AB128)*AA$14</f>
        <v>5263588.0173559189</v>
      </c>
      <c r="AB141" s="106">
        <f>('CBA Inputs'!AC$125-'CBA Inputs'!AC128)*AB$14</f>
        <v>-390907.19915962219</v>
      </c>
      <c r="AC141" s="106">
        <f>('CBA Inputs'!AD$125-'CBA Inputs'!AD128)*AC$14</f>
        <v>421026.40723896027</v>
      </c>
      <c r="AD141" s="106">
        <f>('CBA Inputs'!AE$125-'CBA Inputs'!AE128)*AD$14</f>
        <v>1565810.0122680664</v>
      </c>
      <c r="AE141" s="106">
        <f>('CBA Inputs'!AF$125-'CBA Inputs'!AF128)*AE$14</f>
        <v>0</v>
      </c>
      <c r="AF141" s="106">
        <f>('CBA Inputs'!AG$125-'CBA Inputs'!AG128)*AF$14</f>
        <v>0</v>
      </c>
      <c r="AG141" s="106">
        <f>('CBA Inputs'!AH$125-'CBA Inputs'!AH128)*AG$14</f>
        <v>0</v>
      </c>
      <c r="AH141" s="106">
        <f>('CBA Inputs'!AI$125-'CBA Inputs'!AI128)*AH$14</f>
        <v>0</v>
      </c>
    </row>
    <row r="142" spans="2:34" x14ac:dyDescent="0.25">
      <c r="B142" s="114" t="str">
        <f>'Option inputs'!$C$18</f>
        <v>Option 1D</v>
      </c>
      <c r="C142" s="163" t="s">
        <v>35</v>
      </c>
      <c r="D142" s="123">
        <f>NPV(DiscountRate_ACTIVE,E142:AH142)/(1+DiscountRate_ACTIVE)^(FirstYear-BaseYear-2)*'Option inputs'!$F$15</f>
        <v>-5365364.503858746</v>
      </c>
      <c r="E142" s="106">
        <f>('CBA Inputs'!F$125-'CBA Inputs'!F129)*E$14</f>
        <v>0</v>
      </c>
      <c r="F142" s="106">
        <f>('CBA Inputs'!G$125-'CBA Inputs'!G129)*F$14</f>
        <v>16.201075077056885</v>
      </c>
      <c r="G142" s="106">
        <f>('CBA Inputs'!H$125-'CBA Inputs'!H129)*G$14</f>
        <v>-57932.619238853455</v>
      </c>
      <c r="H142" s="106">
        <f>('CBA Inputs'!I$125-'CBA Inputs'!I129)*H$14</f>
        <v>7044265.7070832253</v>
      </c>
      <c r="I142" s="106">
        <f>('CBA Inputs'!J$125-'CBA Inputs'!J129)*I$14</f>
        <v>-3010586.7323718071</v>
      </c>
      <c r="J142" s="106">
        <f>('CBA Inputs'!K$125-'CBA Inputs'!K129)*J$14</f>
        <v>-4546233.6491503716</v>
      </c>
      <c r="K142" s="106">
        <f>('CBA Inputs'!L$125-'CBA Inputs'!L129)*K$14</f>
        <v>-1487084.9656190872</v>
      </c>
      <c r="L142" s="106">
        <f>('CBA Inputs'!M$125-'CBA Inputs'!M129)*L$14</f>
        <v>-1947417.6831116676</v>
      </c>
      <c r="M142" s="106">
        <f>('CBA Inputs'!N$125-'CBA Inputs'!N129)*M$14</f>
        <v>-5124852.0906500816</v>
      </c>
      <c r="N142" s="106">
        <f>('CBA Inputs'!O$125-'CBA Inputs'!O129)*N$14</f>
        <v>-2031729.8075470924</v>
      </c>
      <c r="O142" s="106">
        <f>('CBA Inputs'!P$125-'CBA Inputs'!P129)*O$14</f>
        <v>-375230.41202449799</v>
      </c>
      <c r="P142" s="106">
        <f>('CBA Inputs'!Q$125-'CBA Inputs'!Q129)*P$14</f>
        <v>1521590.8241872787</v>
      </c>
      <c r="Q142" s="106">
        <f>('CBA Inputs'!R$125-'CBA Inputs'!R129)*Q$14</f>
        <v>1171180.9633674622</v>
      </c>
      <c r="R142" s="106">
        <f>('CBA Inputs'!S$125-'CBA Inputs'!S129)*R$14</f>
        <v>-2919119.7367062569</v>
      </c>
      <c r="S142" s="106">
        <f>('CBA Inputs'!T$125-'CBA Inputs'!T129)*S$14</f>
        <v>-2548450.3296971321</v>
      </c>
      <c r="T142" s="106">
        <f>('CBA Inputs'!U$125-'CBA Inputs'!U129)*T$14</f>
        <v>-2271885.0641813278</v>
      </c>
      <c r="U142" s="106">
        <f>('CBA Inputs'!V$125-'CBA Inputs'!V129)*U$14</f>
        <v>372116.95447683334</v>
      </c>
      <c r="V142" s="106">
        <f>('CBA Inputs'!W$125-'CBA Inputs'!W129)*V$14</f>
        <v>2679223.517182827</v>
      </c>
      <c r="W142" s="106">
        <f>('CBA Inputs'!X$125-'CBA Inputs'!X129)*W$14</f>
        <v>1275903.8142831326</v>
      </c>
      <c r="X142" s="106">
        <f>('CBA Inputs'!Y$125-'CBA Inputs'!Y129)*X$14</f>
        <v>1766606.5154871941</v>
      </c>
      <c r="Y142" s="106">
        <f>('CBA Inputs'!Z$125-'CBA Inputs'!Z129)*Y$14</f>
        <v>2126717.9934353828</v>
      </c>
      <c r="Z142" s="106">
        <f>('CBA Inputs'!AA$125-'CBA Inputs'!AA129)*Z$14</f>
        <v>444423.85568380356</v>
      </c>
      <c r="AA142" s="106">
        <f>('CBA Inputs'!AB$125-'CBA Inputs'!AB129)*AA$14</f>
        <v>2959937.5190644264</v>
      </c>
      <c r="AB142" s="106">
        <f>('CBA Inputs'!AC$125-'CBA Inputs'!AC129)*AB$14</f>
        <v>-465573.48633575439</v>
      </c>
      <c r="AC142" s="106">
        <f>('CBA Inputs'!AD$125-'CBA Inputs'!AD129)*AC$14</f>
        <v>-835789.4823846817</v>
      </c>
      <c r="AD142" s="106">
        <f>('CBA Inputs'!AE$125-'CBA Inputs'!AE129)*AD$14</f>
        <v>1897568.8522977829</v>
      </c>
      <c r="AE142" s="106">
        <f>('CBA Inputs'!AF$125-'CBA Inputs'!AF129)*AE$14</f>
        <v>0</v>
      </c>
      <c r="AF142" s="106">
        <f>('CBA Inputs'!AG$125-'CBA Inputs'!AG129)*AF$14</f>
        <v>0</v>
      </c>
      <c r="AG142" s="106">
        <f>('CBA Inputs'!AH$125-'CBA Inputs'!AH129)*AG$14</f>
        <v>0</v>
      </c>
      <c r="AH142" s="106">
        <f>('CBA Inputs'!AI$125-'CBA Inputs'!AI129)*AH$14</f>
        <v>0</v>
      </c>
    </row>
    <row r="143" spans="2:34" x14ac:dyDescent="0.25">
      <c r="B143" s="114"/>
      <c r="C143" s="114"/>
      <c r="D143" s="123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</row>
    <row r="144" spans="2:34" ht="13" x14ac:dyDescent="0.3">
      <c r="B144" s="122" t="str">
        <f>B113</f>
        <v xml:space="preserve">Voluntary load curtailment </v>
      </c>
      <c r="C144" s="122"/>
      <c r="D144" s="123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</row>
    <row r="145" spans="2:34" x14ac:dyDescent="0.25">
      <c r="B145" s="114" t="str">
        <f>'Option inputs'!$C$15</f>
        <v>Option 1A</v>
      </c>
      <c r="C145" s="163" t="s">
        <v>35</v>
      </c>
      <c r="D145" s="123">
        <f>NPV(DiscountRate_ACTIVE,E145:AH145)/(1+DiscountRate_ACTIVE)^(FirstYear-BaseYear-2)*'Option inputs'!$F$15</f>
        <v>-1071709.5504431652</v>
      </c>
      <c r="E145" s="106">
        <f>('CBA Inputs'!F$155-'CBA Inputs'!F156)*E$14</f>
        <v>0</v>
      </c>
      <c r="F145" s="106">
        <f>('CBA Inputs'!G$155-'CBA Inputs'!G156)*F$14</f>
        <v>2.2579419651883654</v>
      </c>
      <c r="G145" s="106">
        <f>('CBA Inputs'!H$155-'CBA Inputs'!H156)*G$14</f>
        <v>2.3268199301091954</v>
      </c>
      <c r="H145" s="106">
        <f>('CBA Inputs'!I$155-'CBA Inputs'!I156)*H$14</f>
        <v>3488.6073029374238</v>
      </c>
      <c r="I145" s="106">
        <f>('CBA Inputs'!J$155-'CBA Inputs'!J156)*I$14</f>
        <v>-32186.892839014297</v>
      </c>
      <c r="J145" s="106">
        <f>('CBA Inputs'!K$155-'CBA Inputs'!K156)*J$14</f>
        <v>-129607.05599550321</v>
      </c>
      <c r="K145" s="106">
        <f>('CBA Inputs'!L$155-'CBA Inputs'!L156)*K$14</f>
        <v>3.0749050933983755</v>
      </c>
      <c r="L145" s="106">
        <f>('CBA Inputs'!M$155-'CBA Inputs'!M156)*L$14</f>
        <v>-149937.64993950792</v>
      </c>
      <c r="M145" s="106">
        <f>('CBA Inputs'!N$155-'CBA Inputs'!N156)*M$14</f>
        <v>-4249.4989679730497</v>
      </c>
      <c r="N145" s="106">
        <f>('CBA Inputs'!O$155-'CBA Inputs'!O156)*N$14</f>
        <v>4841.6244084697682</v>
      </c>
      <c r="O145" s="106">
        <f>('CBA Inputs'!P$155-'CBA Inputs'!P156)*O$14</f>
        <v>2883.1885551584128</v>
      </c>
      <c r="P145" s="106">
        <f>('CBA Inputs'!Q$155-'CBA Inputs'!Q156)*P$14</f>
        <v>473660.61475147237</v>
      </c>
      <c r="Q145" s="106">
        <f>('CBA Inputs'!R$155-'CBA Inputs'!R156)*Q$14</f>
        <v>789235.19741725363</v>
      </c>
      <c r="R145" s="106">
        <f>('CBA Inputs'!S$155-'CBA Inputs'!S156)*R$14</f>
        <v>253421.83134265756</v>
      </c>
      <c r="S145" s="106">
        <f>('CBA Inputs'!T$155-'CBA Inputs'!T156)*S$14</f>
        <v>372542.26131453714</v>
      </c>
      <c r="T145" s="106">
        <f>('CBA Inputs'!U$155-'CBA Inputs'!U156)*T$14</f>
        <v>216413.95733107626</v>
      </c>
      <c r="U145" s="106">
        <f>('CBA Inputs'!V$155-'CBA Inputs'!V156)*U$14</f>
        <v>258904.42922487482</v>
      </c>
      <c r="V145" s="106">
        <f>('CBA Inputs'!W$155-'CBA Inputs'!W156)*V$14</f>
        <v>182545.99814491507</v>
      </c>
      <c r="W145" s="106">
        <f>('CBA Inputs'!X$155-'CBA Inputs'!X156)*W$14</f>
        <v>-109844.50634370447</v>
      </c>
      <c r="X145" s="106">
        <f>('CBA Inputs'!Y$155-'CBA Inputs'!Y156)*X$14</f>
        <v>75911.861410732847</v>
      </c>
      <c r="Y145" s="106">
        <f>('CBA Inputs'!Z$155-'CBA Inputs'!Z156)*Y$14</f>
        <v>-1959910.4336749874</v>
      </c>
      <c r="Z145" s="106">
        <f>('CBA Inputs'!AA$155-'CBA Inputs'!AA156)*Z$14</f>
        <v>-297180.8142457474</v>
      </c>
      <c r="AA145" s="106">
        <f>('CBA Inputs'!AB$155-'CBA Inputs'!AB156)*AA$14</f>
        <v>-753795.37825748511</v>
      </c>
      <c r="AB145" s="106">
        <f>('CBA Inputs'!AC$155-'CBA Inputs'!AC156)*AB$14</f>
        <v>-836061.04588004481</v>
      </c>
      <c r="AC145" s="106">
        <f>('CBA Inputs'!AD$155-'CBA Inputs'!AD156)*AC$14</f>
        <v>-2887085.5942369625</v>
      </c>
      <c r="AD145" s="106">
        <f>('CBA Inputs'!AE$155-'CBA Inputs'!AE156)*AD$14</f>
        <v>-424825.51310924394</v>
      </c>
      <c r="AE145" s="106">
        <f>('CBA Inputs'!AF$155-'CBA Inputs'!AF156)*AE$14</f>
        <v>0</v>
      </c>
      <c r="AF145" s="106">
        <f>('CBA Inputs'!AG$155-'CBA Inputs'!AG156)*AF$14</f>
        <v>0</v>
      </c>
      <c r="AG145" s="106">
        <f>('CBA Inputs'!AH$155-'CBA Inputs'!AH156)*AG$14</f>
        <v>0</v>
      </c>
      <c r="AH145" s="106">
        <f>('CBA Inputs'!AI$155-'CBA Inputs'!AI156)*AH$14</f>
        <v>0</v>
      </c>
    </row>
    <row r="146" spans="2:34" x14ac:dyDescent="0.25">
      <c r="B146" s="114" t="str">
        <f>'Option inputs'!$C$16</f>
        <v>Option 1B</v>
      </c>
      <c r="C146" s="163" t="s">
        <v>35</v>
      </c>
      <c r="D146" s="123">
        <f>NPV(DiscountRate_ACTIVE,E146:AH146)/(1+DiscountRate_ACTIVE)^(FirstYear-BaseYear-2)*'Option inputs'!$F$15</f>
        <v>1454120.8038329892</v>
      </c>
      <c r="E146" s="106">
        <f>('CBA Inputs'!F$155-'CBA Inputs'!F157)*E$14</f>
        <v>0</v>
      </c>
      <c r="F146" s="106">
        <f>('CBA Inputs'!G$155-'CBA Inputs'!G157)*F$14</f>
        <v>-1.0704512338270433</v>
      </c>
      <c r="G146" s="106">
        <f>('CBA Inputs'!H$155-'CBA Inputs'!H157)*G$14</f>
        <v>-1.1004745005629957</v>
      </c>
      <c r="H146" s="106">
        <f>('CBA Inputs'!I$155-'CBA Inputs'!I157)*H$14</f>
        <v>52245.775950766401</v>
      </c>
      <c r="I146" s="106">
        <f>('CBA Inputs'!J$155-'CBA Inputs'!J157)*I$14</f>
        <v>-42900.056118573295</v>
      </c>
      <c r="J146" s="106">
        <f>('CBA Inputs'!K$155-'CBA Inputs'!K157)*J$14</f>
        <v>-5350.2470789747313</v>
      </c>
      <c r="K146" s="106">
        <f>('CBA Inputs'!L$155-'CBA Inputs'!L157)*K$14</f>
        <v>-1.4499442633401882</v>
      </c>
      <c r="L146" s="106">
        <f>('CBA Inputs'!M$155-'CBA Inputs'!M157)*L$14</f>
        <v>-24814.585392413312</v>
      </c>
      <c r="M146" s="106">
        <f>('CBA Inputs'!N$155-'CBA Inputs'!N157)*M$14</f>
        <v>7843.1380582642742</v>
      </c>
      <c r="N146" s="106">
        <f>('CBA Inputs'!O$155-'CBA Inputs'!O157)*N$14</f>
        <v>15717.589215672109</v>
      </c>
      <c r="O146" s="106">
        <f>('CBA Inputs'!P$155-'CBA Inputs'!P157)*O$14</f>
        <v>-9648.6889798565244</v>
      </c>
      <c r="P146" s="106">
        <f>('CBA Inputs'!Q$155-'CBA Inputs'!Q157)*P$14</f>
        <v>468766.0496798805</v>
      </c>
      <c r="Q146" s="106">
        <f>('CBA Inputs'!R$155-'CBA Inputs'!R157)*Q$14</f>
        <v>-284614.20699973684</v>
      </c>
      <c r="R146" s="106">
        <f>('CBA Inputs'!S$155-'CBA Inputs'!S157)*R$14</f>
        <v>-213540.45052144444</v>
      </c>
      <c r="S146" s="106">
        <f>('CBA Inputs'!T$155-'CBA Inputs'!T157)*S$14</f>
        <v>-126838.98818354867</v>
      </c>
      <c r="T146" s="106">
        <f>('CBA Inputs'!U$155-'CBA Inputs'!U157)*T$14</f>
        <v>-266530.10804848373</v>
      </c>
      <c r="U146" s="106">
        <f>('CBA Inputs'!V$155-'CBA Inputs'!V157)*U$14</f>
        <v>-156397.60054833721</v>
      </c>
      <c r="V146" s="106">
        <f>('CBA Inputs'!W$155-'CBA Inputs'!W157)*V$14</f>
        <v>-16446.582833870663</v>
      </c>
      <c r="W146" s="106">
        <f>('CBA Inputs'!X$155-'CBA Inputs'!X157)*W$14</f>
        <v>-106000.18613170204</v>
      </c>
      <c r="X146" s="106">
        <f>('CBA Inputs'!Y$155-'CBA Inputs'!Y157)*X$14</f>
        <v>-210067.11209927453</v>
      </c>
      <c r="Y146" s="106">
        <f>('CBA Inputs'!Z$155-'CBA Inputs'!Z157)*Y$14</f>
        <v>114597.80643281713</v>
      </c>
      <c r="Z146" s="106">
        <f>('CBA Inputs'!AA$155-'CBA Inputs'!AA157)*Z$14</f>
        <v>77512.996572135016</v>
      </c>
      <c r="AA146" s="106">
        <f>('CBA Inputs'!AB$155-'CBA Inputs'!AB157)*AA$14</f>
        <v>2418698.7907910701</v>
      </c>
      <c r="AB146" s="106">
        <f>('CBA Inputs'!AC$155-'CBA Inputs'!AC157)*AB$14</f>
        <v>-305496.56012757029</v>
      </c>
      <c r="AC146" s="106">
        <f>('CBA Inputs'!AD$155-'CBA Inputs'!AD157)*AC$14</f>
        <v>4236142.4272271395</v>
      </c>
      <c r="AD146" s="106">
        <f>('CBA Inputs'!AE$155-'CBA Inputs'!AE157)*AD$14</f>
        <v>-70280.310560928192</v>
      </c>
      <c r="AE146" s="106">
        <f>('CBA Inputs'!AF$155-'CBA Inputs'!AF157)*AE$14</f>
        <v>0</v>
      </c>
      <c r="AF146" s="106">
        <f>('CBA Inputs'!AG$155-'CBA Inputs'!AG157)*AF$14</f>
        <v>0</v>
      </c>
      <c r="AG146" s="106">
        <f>('CBA Inputs'!AH$155-'CBA Inputs'!AH157)*AG$14</f>
        <v>0</v>
      </c>
      <c r="AH146" s="106">
        <f>('CBA Inputs'!AI$155-'CBA Inputs'!AI157)*AH$14</f>
        <v>0</v>
      </c>
    </row>
    <row r="147" spans="2:34" x14ac:dyDescent="0.25">
      <c r="B147" s="114" t="str">
        <f>'Option inputs'!$C$17</f>
        <v>Option 1C</v>
      </c>
      <c r="C147" s="163" t="s">
        <v>35</v>
      </c>
      <c r="D147" s="123">
        <f>NPV(DiscountRate_ACTIVE,E147:AH147)/(1+DiscountRate_ACTIVE)^(FirstYear-BaseYear-2)*'Option inputs'!$F$15</f>
        <v>-2040505.1635431892</v>
      </c>
      <c r="E147" s="106">
        <f>('CBA Inputs'!F$155-'CBA Inputs'!F158)*E$14</f>
        <v>0</v>
      </c>
      <c r="F147" s="106">
        <f>('CBA Inputs'!G$155-'CBA Inputs'!G158)*F$14</f>
        <v>2.4274888334912248</v>
      </c>
      <c r="G147" s="106">
        <f>('CBA Inputs'!H$155-'CBA Inputs'!H158)*G$14</f>
        <v>2.5019365267944522</v>
      </c>
      <c r="H147" s="106">
        <f>('CBA Inputs'!I$155-'CBA Inputs'!I158)*H$14</f>
        <v>-38771.338417158695</v>
      </c>
      <c r="I147" s="106">
        <f>('CBA Inputs'!J$155-'CBA Inputs'!J158)*I$14</f>
        <v>2.9571378912078217</v>
      </c>
      <c r="J147" s="106">
        <f>('CBA Inputs'!K$155-'CBA Inputs'!K158)*J$14</f>
        <v>-111672.88771470962</v>
      </c>
      <c r="K147" s="106">
        <f>('CBA Inputs'!L$155-'CBA Inputs'!L158)*K$14</f>
        <v>3.3176923414172754</v>
      </c>
      <c r="L147" s="106">
        <f>('CBA Inputs'!M$155-'CBA Inputs'!M158)*L$14</f>
        <v>-33415.198331601161</v>
      </c>
      <c r="M147" s="106">
        <f>('CBA Inputs'!N$155-'CBA Inputs'!N158)*M$14</f>
        <v>-125893.88081077486</v>
      </c>
      <c r="N147" s="106">
        <f>('CBA Inputs'!O$155-'CBA Inputs'!O158)*N$14</f>
        <v>-43358.390252056764</v>
      </c>
      <c r="O147" s="106">
        <f>('CBA Inputs'!P$155-'CBA Inputs'!P158)*O$14</f>
        <v>2637.6372629785037</v>
      </c>
      <c r="P147" s="106">
        <f>('CBA Inputs'!Q$155-'CBA Inputs'!Q158)*P$14</f>
        <v>85269.958844124805</v>
      </c>
      <c r="Q147" s="106">
        <f>('CBA Inputs'!R$155-'CBA Inputs'!R158)*Q$14</f>
        <v>808716.16221999656</v>
      </c>
      <c r="R147" s="106">
        <f>('CBA Inputs'!S$155-'CBA Inputs'!S158)*R$14</f>
        <v>477463.79430861026</v>
      </c>
      <c r="S147" s="106">
        <f>('CBA Inputs'!T$155-'CBA Inputs'!T158)*S$14</f>
        <v>425723.63454364752</v>
      </c>
      <c r="T147" s="106">
        <f>('CBA Inputs'!U$155-'CBA Inputs'!U158)*T$14</f>
        <v>425520.78973107133</v>
      </c>
      <c r="U147" s="106">
        <f>('CBA Inputs'!V$155-'CBA Inputs'!V158)*U$14</f>
        <v>285512.19287987612</v>
      </c>
      <c r="V147" s="106">
        <f>('CBA Inputs'!W$155-'CBA Inputs'!W158)*V$14</f>
        <v>156857.76477877772</v>
      </c>
      <c r="W147" s="106">
        <f>('CBA Inputs'!X$155-'CBA Inputs'!X158)*W$14</f>
        <v>-11461.218558592867</v>
      </c>
      <c r="X147" s="106">
        <f>('CBA Inputs'!Y$155-'CBA Inputs'!Y158)*X$14</f>
        <v>153308.4770342526</v>
      </c>
      <c r="Y147" s="106">
        <f>('CBA Inputs'!Z$155-'CBA Inputs'!Z158)*Y$14</f>
        <v>-1683406.799279131</v>
      </c>
      <c r="Z147" s="106">
        <f>('CBA Inputs'!AA$155-'CBA Inputs'!AA158)*Z$14</f>
        <v>-923990.79135981575</v>
      </c>
      <c r="AA147" s="106">
        <f>('CBA Inputs'!AB$155-'CBA Inputs'!AB158)*AA$14</f>
        <v>-2929334.2015920114</v>
      </c>
      <c r="AB147" s="106">
        <f>('CBA Inputs'!AC$155-'CBA Inputs'!AC158)*AB$14</f>
        <v>-454461.61887637246</v>
      </c>
      <c r="AC147" s="106">
        <f>('CBA Inputs'!AD$155-'CBA Inputs'!AD158)*AC$14</f>
        <v>-4124511.1259426996</v>
      </c>
      <c r="AD147" s="106">
        <f>('CBA Inputs'!AE$155-'CBA Inputs'!AE158)*AD$14</f>
        <v>-622398.04712663451</v>
      </c>
      <c r="AE147" s="106">
        <f>('CBA Inputs'!AF$155-'CBA Inputs'!AF158)*AE$14</f>
        <v>0</v>
      </c>
      <c r="AF147" s="106">
        <f>('CBA Inputs'!AG$155-'CBA Inputs'!AG158)*AF$14</f>
        <v>0</v>
      </c>
      <c r="AG147" s="106">
        <f>('CBA Inputs'!AH$155-'CBA Inputs'!AH158)*AG$14</f>
        <v>0</v>
      </c>
      <c r="AH147" s="106">
        <f>('CBA Inputs'!AI$155-'CBA Inputs'!AI158)*AH$14</f>
        <v>0</v>
      </c>
    </row>
    <row r="148" spans="2:34" x14ac:dyDescent="0.25">
      <c r="B148" s="114" t="str">
        <f>'Option inputs'!$C$18</f>
        <v>Option 1D</v>
      </c>
      <c r="C148" s="163" t="s">
        <v>35</v>
      </c>
      <c r="D148" s="123">
        <f>NPV(DiscountRate_ACTIVE,E148:AH148)/(1+DiscountRate_ACTIVE)^(FirstYear-BaseYear-2)*'Option inputs'!$F$15</f>
        <v>369842.78426902177</v>
      </c>
      <c r="E148" s="106">
        <f>('CBA Inputs'!F$155-'CBA Inputs'!F159)*E$14</f>
        <v>0</v>
      </c>
      <c r="F148" s="106">
        <f>('CBA Inputs'!G$155-'CBA Inputs'!G159)*F$14</f>
        <v>0.27901052567176521</v>
      </c>
      <c r="G148" s="106">
        <f>('CBA Inputs'!H$155-'CBA Inputs'!H159)*G$14</f>
        <v>0.29165285307681188</v>
      </c>
      <c r="H148" s="106">
        <f>('CBA Inputs'!I$155-'CBA Inputs'!I159)*H$14</f>
        <v>-8218.4987693589646</v>
      </c>
      <c r="I148" s="106">
        <f>('CBA Inputs'!J$155-'CBA Inputs'!J159)*I$14</f>
        <v>0.35421853943262249</v>
      </c>
      <c r="J148" s="106">
        <f>('CBA Inputs'!K$155-'CBA Inputs'!K159)*J$14</f>
        <v>-79866.029897990404</v>
      </c>
      <c r="K148" s="106">
        <f>('CBA Inputs'!L$155-'CBA Inputs'!L159)*K$14</f>
        <v>0.3985890064800115</v>
      </c>
      <c r="L148" s="106">
        <f>('CBA Inputs'!M$155-'CBA Inputs'!M159)*L$14</f>
        <v>-98583.666971475264</v>
      </c>
      <c r="M148" s="106">
        <f>('CBA Inputs'!N$155-'CBA Inputs'!N159)*M$14</f>
        <v>-90947.598717130953</v>
      </c>
      <c r="N148" s="106">
        <f>('CBA Inputs'!O$155-'CBA Inputs'!O159)*N$14</f>
        <v>-15053.001469097333</v>
      </c>
      <c r="O148" s="106">
        <f>('CBA Inputs'!P$155-'CBA Inputs'!P159)*O$14</f>
        <v>965.74632692261366</v>
      </c>
      <c r="P148" s="106">
        <f>('CBA Inputs'!Q$155-'CBA Inputs'!Q159)*P$14</f>
        <v>66638.299918550067</v>
      </c>
      <c r="Q148" s="106">
        <f>('CBA Inputs'!R$155-'CBA Inputs'!R159)*Q$14</f>
        <v>73983.941374478862</v>
      </c>
      <c r="R148" s="106">
        <f>('CBA Inputs'!S$155-'CBA Inputs'!S159)*R$14</f>
        <v>64738.333204074763</v>
      </c>
      <c r="S148" s="106">
        <f>('CBA Inputs'!T$155-'CBA Inputs'!T159)*S$14</f>
        <v>58595.417207727674</v>
      </c>
      <c r="T148" s="106">
        <f>('CBA Inputs'!U$155-'CBA Inputs'!U159)*T$14</f>
        <v>127048.26303177187</v>
      </c>
      <c r="U148" s="106">
        <f>('CBA Inputs'!V$155-'CBA Inputs'!V159)*U$14</f>
        <v>47460.269185665064</v>
      </c>
      <c r="V148" s="106">
        <f>('CBA Inputs'!W$155-'CBA Inputs'!W159)*V$14</f>
        <v>18274.527953520621</v>
      </c>
      <c r="W148" s="106">
        <f>('CBA Inputs'!X$155-'CBA Inputs'!X159)*W$14</f>
        <v>-5209.690591824532</v>
      </c>
      <c r="X148" s="106">
        <f>('CBA Inputs'!Y$155-'CBA Inputs'!Y159)*X$14</f>
        <v>-4709.0763791580684</v>
      </c>
      <c r="Y148" s="106">
        <f>('CBA Inputs'!Z$155-'CBA Inputs'!Z159)*Y$14</f>
        <v>36766.221135647967</v>
      </c>
      <c r="Z148" s="106">
        <f>('CBA Inputs'!AA$155-'CBA Inputs'!AA159)*Z$14</f>
        <v>25055.90931321308</v>
      </c>
      <c r="AA148" s="106">
        <f>('CBA Inputs'!AB$155-'CBA Inputs'!AB159)*AA$14</f>
        <v>243068.72753932327</v>
      </c>
      <c r="AB148" s="106">
        <f>('CBA Inputs'!AC$155-'CBA Inputs'!AC159)*AB$14</f>
        <v>-13942.949602573179</v>
      </c>
      <c r="AC148" s="106">
        <f>('CBA Inputs'!AD$155-'CBA Inputs'!AD159)*AC$14</f>
        <v>1058844.0541342944</v>
      </c>
      <c r="AD148" s="106">
        <f>('CBA Inputs'!AE$155-'CBA Inputs'!AE159)*AD$14</f>
        <v>-40340.324584881309</v>
      </c>
      <c r="AE148" s="106">
        <f>('CBA Inputs'!AF$155-'CBA Inputs'!AF159)*AE$14</f>
        <v>0</v>
      </c>
      <c r="AF148" s="106">
        <f>('CBA Inputs'!AG$155-'CBA Inputs'!AG159)*AF$14</f>
        <v>0</v>
      </c>
      <c r="AG148" s="106">
        <f>('CBA Inputs'!AH$155-'CBA Inputs'!AH159)*AG$14</f>
        <v>0</v>
      </c>
      <c r="AH148" s="106">
        <f>('CBA Inputs'!AI$155-'CBA Inputs'!AI159)*AH$14</f>
        <v>0</v>
      </c>
    </row>
    <row r="149" spans="2:34" x14ac:dyDescent="0.25">
      <c r="B149" s="114"/>
      <c r="C149" s="114"/>
      <c r="D149" s="123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</row>
    <row r="150" spans="2:34" ht="13" x14ac:dyDescent="0.3">
      <c r="B150" s="122" t="str">
        <f>B119</f>
        <v>Costs for non RIT-T proponent parties</v>
      </c>
      <c r="C150" s="122"/>
      <c r="D150" s="123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</row>
    <row r="151" spans="2:34" x14ac:dyDescent="0.25">
      <c r="B151" s="114" t="str">
        <f>'Option inputs'!$C$15</f>
        <v>Option 1A</v>
      </c>
      <c r="C151" s="163" t="s">
        <v>35</v>
      </c>
      <c r="D151" s="123">
        <f>NPV(DiscountRate_ACTIVE,E151:AH151)/(1+DiscountRate_ACTIVE)^(FirstYear-BaseYear-2)*'Option inputs'!$F$15</f>
        <v>371174217.61330879</v>
      </c>
      <c r="E151" s="106">
        <f>('CBA Inputs'!F$185-'CBA Inputs'!F186)*E$14</f>
        <v>0</v>
      </c>
      <c r="F151" s="106">
        <f>('CBA Inputs'!G$185-'CBA Inputs'!G186)*F$14</f>
        <v>859.34492623806</v>
      </c>
      <c r="G151" s="106">
        <f>('CBA Inputs'!H$185-'CBA Inputs'!H186)*G$14</f>
        <v>33894721.618946552</v>
      </c>
      <c r="H151" s="106">
        <f>('CBA Inputs'!I$185-'CBA Inputs'!I186)*H$14</f>
        <v>159891035.31395555</v>
      </c>
      <c r="I151" s="106">
        <f>('CBA Inputs'!J$185-'CBA Inputs'!J186)*I$14</f>
        <v>181495995.71212816</v>
      </c>
      <c r="J151" s="106">
        <f>('CBA Inputs'!K$185-'CBA Inputs'!K186)*J$14</f>
        <v>-51376380.402218819</v>
      </c>
      <c r="K151" s="106">
        <f>('CBA Inputs'!L$185-'CBA Inputs'!L186)*K$14</f>
        <v>-63790348.964039803</v>
      </c>
      <c r="L151" s="106">
        <f>('CBA Inputs'!M$185-'CBA Inputs'!M186)*L$14</f>
        <v>-34277941.667721748</v>
      </c>
      <c r="M151" s="106">
        <f>('CBA Inputs'!N$185-'CBA Inputs'!N186)*M$14</f>
        <v>55276970.890787125</v>
      </c>
      <c r="N151" s="106">
        <f>('CBA Inputs'!O$185-'CBA Inputs'!O186)*N$14</f>
        <v>-66949334.69189167</v>
      </c>
      <c r="O151" s="106">
        <f>('CBA Inputs'!P$185-'CBA Inputs'!P186)*O$14</f>
        <v>-33553538.600152969</v>
      </c>
      <c r="P151" s="106">
        <f>('CBA Inputs'!Q$185-'CBA Inputs'!Q186)*P$14</f>
        <v>-89949282.868671417</v>
      </c>
      <c r="Q151" s="106">
        <f>('CBA Inputs'!R$185-'CBA Inputs'!R186)*Q$14</f>
        <v>174367237.10466385</v>
      </c>
      <c r="R151" s="106">
        <f>('CBA Inputs'!S$185-'CBA Inputs'!S186)*R$14</f>
        <v>31755783.843455315</v>
      </c>
      <c r="S151" s="106">
        <f>('CBA Inputs'!T$185-'CBA Inputs'!T186)*S$14</f>
        <v>-42329174.674963951</v>
      </c>
      <c r="T151" s="106">
        <f>('CBA Inputs'!U$185-'CBA Inputs'!U186)*T$14</f>
        <v>86897152.954999924</v>
      </c>
      <c r="U151" s="106">
        <f>('CBA Inputs'!V$185-'CBA Inputs'!V186)*U$14</f>
        <v>164577440.53103638</v>
      </c>
      <c r="V151" s="106">
        <f>('CBA Inputs'!W$185-'CBA Inputs'!W186)*V$14</f>
        <v>-101827053.33121586</v>
      </c>
      <c r="W151" s="106">
        <f>('CBA Inputs'!X$185-'CBA Inputs'!X186)*W$14</f>
        <v>-16043852.116925716</v>
      </c>
      <c r="X151" s="106">
        <f>('CBA Inputs'!Y$185-'CBA Inputs'!Y186)*X$14</f>
        <v>-38518464.144592524</v>
      </c>
      <c r="Y151" s="106">
        <f>('CBA Inputs'!Z$185-'CBA Inputs'!Z186)*Y$14</f>
        <v>162925685.26524162</v>
      </c>
      <c r="Z151" s="106">
        <f>('CBA Inputs'!AA$185-'CBA Inputs'!AA186)*Z$14</f>
        <v>18452407.544795036</v>
      </c>
      <c r="AA151" s="106">
        <f>('CBA Inputs'!AB$185-'CBA Inputs'!AB186)*AA$14</f>
        <v>139515741.88985109</v>
      </c>
      <c r="AB151" s="106">
        <f>('CBA Inputs'!AC$185-'CBA Inputs'!AC186)*AB$14</f>
        <v>-13655760.698481321</v>
      </c>
      <c r="AC151" s="106">
        <f>('CBA Inputs'!AD$185-'CBA Inputs'!AD186)*AC$14</f>
        <v>-28937530.658470154</v>
      </c>
      <c r="AD151" s="106">
        <f>('CBA Inputs'!AE$185-'CBA Inputs'!AE186)*AD$14</f>
        <v>20293056.764142752</v>
      </c>
      <c r="AE151" s="106">
        <f>('CBA Inputs'!AF$185-'CBA Inputs'!AF186)*AE$14</f>
        <v>0</v>
      </c>
      <c r="AF151" s="106">
        <f>('CBA Inputs'!AG$185-'CBA Inputs'!AG186)*AF$14</f>
        <v>0</v>
      </c>
      <c r="AG151" s="106">
        <f>('CBA Inputs'!AH$185-'CBA Inputs'!AH186)*AG$14</f>
        <v>0</v>
      </c>
      <c r="AH151" s="106">
        <f>('CBA Inputs'!AI$185-'CBA Inputs'!AI186)*AH$14</f>
        <v>0</v>
      </c>
    </row>
    <row r="152" spans="2:34" x14ac:dyDescent="0.25">
      <c r="B152" s="114" t="str">
        <f>'Option inputs'!$C$16</f>
        <v>Option 1B</v>
      </c>
      <c r="C152" s="163" t="s">
        <v>35</v>
      </c>
      <c r="D152" s="123">
        <f>NPV(DiscountRate_ACTIVE,E152:AH152)/(1+DiscountRate_ACTIVE)^(FirstYear-BaseYear-2)*'Option inputs'!$F$15</f>
        <v>174361797.92697933</v>
      </c>
      <c r="E152" s="106">
        <f>('CBA Inputs'!F$185-'CBA Inputs'!F187)*E$14</f>
        <v>0</v>
      </c>
      <c r="F152" s="106">
        <f>('CBA Inputs'!G$185-'CBA Inputs'!G187)*F$14</f>
        <v>-396.69908821582794</v>
      </c>
      <c r="G152" s="106">
        <f>('CBA Inputs'!H$185-'CBA Inputs'!H187)*G$14</f>
        <v>8021.9565713405609</v>
      </c>
      <c r="H152" s="106">
        <f>('CBA Inputs'!I$185-'CBA Inputs'!I187)*H$14</f>
        <v>-9918496.6350178719</v>
      </c>
      <c r="I152" s="106">
        <f>('CBA Inputs'!J$185-'CBA Inputs'!J187)*I$14</f>
        <v>79654039.210535049</v>
      </c>
      <c r="J152" s="106">
        <f>('CBA Inputs'!K$185-'CBA Inputs'!K187)*J$14</f>
        <v>-31341387.70433712</v>
      </c>
      <c r="K152" s="106">
        <f>('CBA Inputs'!L$185-'CBA Inputs'!L187)*K$14</f>
        <v>-31310602.39911747</v>
      </c>
      <c r="L152" s="106">
        <f>('CBA Inputs'!M$185-'CBA Inputs'!M187)*L$14</f>
        <v>-3009152.3756151199</v>
      </c>
      <c r="M152" s="106">
        <f>('CBA Inputs'!N$185-'CBA Inputs'!N187)*M$14</f>
        <v>54220801.157251358</v>
      </c>
      <c r="N152" s="106">
        <f>('CBA Inputs'!O$185-'CBA Inputs'!O187)*N$14</f>
        <v>12325409.834668159</v>
      </c>
      <c r="O152" s="106">
        <f>('CBA Inputs'!P$185-'CBA Inputs'!P187)*O$14</f>
        <v>9409342.0260400772</v>
      </c>
      <c r="P152" s="106">
        <f>('CBA Inputs'!Q$185-'CBA Inputs'!Q187)*P$14</f>
        <v>-68252174.52594471</v>
      </c>
      <c r="Q152" s="106">
        <f>('CBA Inputs'!R$185-'CBA Inputs'!R187)*Q$14</f>
        <v>105387828.47148895</v>
      </c>
      <c r="R152" s="106">
        <f>('CBA Inputs'!S$185-'CBA Inputs'!S187)*R$14</f>
        <v>13873954.043057442</v>
      </c>
      <c r="S152" s="106">
        <f>('CBA Inputs'!T$185-'CBA Inputs'!T187)*S$14</f>
        <v>-47676691.847842216</v>
      </c>
      <c r="T152" s="106">
        <f>('CBA Inputs'!U$185-'CBA Inputs'!U187)*T$14</f>
        <v>44626310.840764761</v>
      </c>
      <c r="U152" s="106">
        <f>('CBA Inputs'!V$185-'CBA Inputs'!V187)*U$14</f>
        <v>171499581.44627762</v>
      </c>
      <c r="V152" s="106">
        <f>('CBA Inputs'!W$185-'CBA Inputs'!W187)*V$14</f>
        <v>-61603340.770882607</v>
      </c>
      <c r="W152" s="106">
        <f>('CBA Inputs'!X$185-'CBA Inputs'!X187)*W$14</f>
        <v>-12386554.543444157</v>
      </c>
      <c r="X152" s="106">
        <f>('CBA Inputs'!Y$185-'CBA Inputs'!Y187)*X$14</f>
        <v>147008.13826107979</v>
      </c>
      <c r="Y152" s="106">
        <f>('CBA Inputs'!Z$185-'CBA Inputs'!Z187)*Y$14</f>
        <v>33502105.587722778</v>
      </c>
      <c r="Z152" s="106">
        <f>('CBA Inputs'!AA$185-'CBA Inputs'!AA187)*Z$14</f>
        <v>14542430.661214828</v>
      </c>
      <c r="AA152" s="106">
        <f>('CBA Inputs'!AB$185-'CBA Inputs'!AB187)*AA$14</f>
        <v>134543708.61752892</v>
      </c>
      <c r="AB152" s="106">
        <f>('CBA Inputs'!AC$185-'CBA Inputs'!AC187)*AB$14</f>
        <v>-14302291.398615599</v>
      </c>
      <c r="AC152" s="106">
        <f>('CBA Inputs'!AD$185-'CBA Inputs'!AD187)*AC$14</f>
        <v>-10037991.770121574</v>
      </c>
      <c r="AD152" s="106">
        <f>('CBA Inputs'!AE$185-'CBA Inputs'!AE187)*AD$14</f>
        <v>8503797.5916757584</v>
      </c>
      <c r="AE152" s="106">
        <f>('CBA Inputs'!AF$185-'CBA Inputs'!AF187)*AE$14</f>
        <v>0</v>
      </c>
      <c r="AF152" s="106">
        <f>('CBA Inputs'!AG$185-'CBA Inputs'!AG187)*AF$14</f>
        <v>0</v>
      </c>
      <c r="AG152" s="106">
        <f>('CBA Inputs'!AH$185-'CBA Inputs'!AH187)*AG$14</f>
        <v>0</v>
      </c>
      <c r="AH152" s="106">
        <f>('CBA Inputs'!AI$185-'CBA Inputs'!AI187)*AH$14</f>
        <v>0</v>
      </c>
    </row>
    <row r="153" spans="2:34" x14ac:dyDescent="0.25">
      <c r="B153" s="114" t="str">
        <f>'Option inputs'!$C$17</f>
        <v>Option 1C</v>
      </c>
      <c r="C153" s="163" t="s">
        <v>35</v>
      </c>
      <c r="D153" s="123">
        <f>NPV(DiscountRate_ACTIVE,E153:AH153)/(1+DiscountRate_ACTIVE)^(FirstYear-BaseYear-2)*'Option inputs'!$F$15</f>
        <v>155290544.84731123</v>
      </c>
      <c r="E153" s="106">
        <f>('CBA Inputs'!F$185-'CBA Inputs'!F188)*E$14</f>
        <v>0</v>
      </c>
      <c r="F153" s="106">
        <f>('CBA Inputs'!G$185-'CBA Inputs'!G188)*F$14</f>
        <v>934.04563462734222</v>
      </c>
      <c r="G153" s="106">
        <f>('CBA Inputs'!H$185-'CBA Inputs'!H188)*G$14</f>
        <v>13411420.853017926</v>
      </c>
      <c r="H153" s="106">
        <f>('CBA Inputs'!I$185-'CBA Inputs'!I188)*H$14</f>
        <v>33117968.633224726</v>
      </c>
      <c r="I153" s="106">
        <f>('CBA Inputs'!J$185-'CBA Inputs'!J188)*I$14</f>
        <v>176062143.23851109</v>
      </c>
      <c r="J153" s="106">
        <f>('CBA Inputs'!K$185-'CBA Inputs'!K188)*J$14</f>
        <v>19287582.63654995</v>
      </c>
      <c r="K153" s="106">
        <f>('CBA Inputs'!L$185-'CBA Inputs'!L188)*K$14</f>
        <v>-18789298.437496185</v>
      </c>
      <c r="L153" s="106">
        <f>('CBA Inputs'!M$185-'CBA Inputs'!M188)*L$14</f>
        <v>-29402343.337340355</v>
      </c>
      <c r="M153" s="106">
        <f>('CBA Inputs'!N$185-'CBA Inputs'!N188)*M$14</f>
        <v>6648671.1145172119</v>
      </c>
      <c r="N153" s="106">
        <f>('CBA Inputs'!O$185-'CBA Inputs'!O188)*N$14</f>
        <v>-64074761.064131737</v>
      </c>
      <c r="O153" s="106">
        <f>('CBA Inputs'!P$185-'CBA Inputs'!P188)*O$14</f>
        <v>-68858214.206139565</v>
      </c>
      <c r="P153" s="106">
        <f>('CBA Inputs'!Q$185-'CBA Inputs'!Q188)*P$14</f>
        <v>-34211840.593180656</v>
      </c>
      <c r="Q153" s="106">
        <f>('CBA Inputs'!R$185-'CBA Inputs'!R188)*Q$14</f>
        <v>94147951.194103241</v>
      </c>
      <c r="R153" s="106">
        <f>('CBA Inputs'!S$185-'CBA Inputs'!S188)*R$14</f>
        <v>-10230254.706501961</v>
      </c>
      <c r="S153" s="106">
        <f>('CBA Inputs'!T$185-'CBA Inputs'!T188)*S$14</f>
        <v>63616980.660465717</v>
      </c>
      <c r="T153" s="106">
        <f>('CBA Inputs'!U$185-'CBA Inputs'!U188)*T$14</f>
        <v>40875851.121892929</v>
      </c>
      <c r="U153" s="106">
        <f>('CBA Inputs'!V$185-'CBA Inputs'!V188)*U$14</f>
        <v>-12741692.549343109</v>
      </c>
      <c r="V153" s="106">
        <f>('CBA Inputs'!W$185-'CBA Inputs'!W188)*V$14</f>
        <v>-87528163.420790672</v>
      </c>
      <c r="W153" s="106">
        <f>('CBA Inputs'!X$185-'CBA Inputs'!X188)*W$14</f>
        <v>-14985875.281452179</v>
      </c>
      <c r="X153" s="106">
        <f>('CBA Inputs'!Y$185-'CBA Inputs'!Y188)*X$14</f>
        <v>-23663436.898097515</v>
      </c>
      <c r="Y153" s="106">
        <f>('CBA Inputs'!Z$185-'CBA Inputs'!Z188)*Y$14</f>
        <v>116308483.88429451</v>
      </c>
      <c r="Z153" s="106">
        <f>('CBA Inputs'!AA$185-'CBA Inputs'!AA188)*Z$14</f>
        <v>2961941.9244842529</v>
      </c>
      <c r="AA153" s="106">
        <f>('CBA Inputs'!AB$185-'CBA Inputs'!AB188)*AA$14</f>
        <v>6836075.8915646076</v>
      </c>
      <c r="AB153" s="106">
        <f>('CBA Inputs'!AC$185-'CBA Inputs'!AC188)*AB$14</f>
        <v>-239695.04631114006</v>
      </c>
      <c r="AC153" s="106">
        <f>('CBA Inputs'!AD$185-'CBA Inputs'!AD188)*AC$14</f>
        <v>-4916676.4459686279</v>
      </c>
      <c r="AD153" s="106">
        <f>('CBA Inputs'!AE$185-'CBA Inputs'!AE188)*AD$14</f>
        <v>4510406.6202464104</v>
      </c>
      <c r="AE153" s="106">
        <f>('CBA Inputs'!AF$185-'CBA Inputs'!AF188)*AE$14</f>
        <v>0</v>
      </c>
      <c r="AF153" s="106">
        <f>('CBA Inputs'!AG$185-'CBA Inputs'!AG188)*AF$14</f>
        <v>0</v>
      </c>
      <c r="AG153" s="106">
        <f>('CBA Inputs'!AH$185-'CBA Inputs'!AH188)*AG$14</f>
        <v>0</v>
      </c>
      <c r="AH153" s="106">
        <f>('CBA Inputs'!AI$185-'CBA Inputs'!AI188)*AH$14</f>
        <v>0</v>
      </c>
    </row>
    <row r="154" spans="2:34" x14ac:dyDescent="0.25">
      <c r="B154" s="114" t="str">
        <f>'Option inputs'!$C$18</f>
        <v>Option 1D</v>
      </c>
      <c r="C154" s="163" t="s">
        <v>35</v>
      </c>
      <c r="D154" s="123">
        <f>NPV(DiscountRate_ACTIVE,E154:AH154)/(1+DiscountRate_ACTIVE)^(FirstYear-BaseYear-2)*'Option inputs'!$F$15</f>
        <v>89342290.687302932</v>
      </c>
      <c r="E154" s="106">
        <f>('CBA Inputs'!F$185-'CBA Inputs'!F189)*E$14</f>
        <v>0</v>
      </c>
      <c r="F154" s="106">
        <f>('CBA Inputs'!G$185-'CBA Inputs'!G189)*F$14</f>
        <v>111.18840312957764</v>
      </c>
      <c r="G154" s="106">
        <f>('CBA Inputs'!H$185-'CBA Inputs'!H189)*G$14</f>
        <v>-10698.15870320797</v>
      </c>
      <c r="H154" s="106">
        <f>('CBA Inputs'!I$185-'CBA Inputs'!I189)*H$14</f>
        <v>48509286.18350172</v>
      </c>
      <c r="I154" s="106">
        <f>('CBA Inputs'!J$185-'CBA Inputs'!J189)*I$14</f>
        <v>175211117.83311176</v>
      </c>
      <c r="J154" s="106">
        <f>('CBA Inputs'!K$185-'CBA Inputs'!K189)*J$14</f>
        <v>-7266394.209485054</v>
      </c>
      <c r="K154" s="106">
        <f>('CBA Inputs'!L$185-'CBA Inputs'!L189)*K$14</f>
        <v>-15679562.690259933</v>
      </c>
      <c r="L154" s="106">
        <f>('CBA Inputs'!M$185-'CBA Inputs'!M189)*L$14</f>
        <v>-28851435.037729263</v>
      </c>
      <c r="M154" s="106">
        <f>('CBA Inputs'!N$185-'CBA Inputs'!N189)*M$14</f>
        <v>-24994801.156555176</v>
      </c>
      <c r="N154" s="106">
        <f>('CBA Inputs'!O$185-'CBA Inputs'!O189)*N$14</f>
        <v>-44305003.704444885</v>
      </c>
      <c r="O154" s="106">
        <f>('CBA Inputs'!P$185-'CBA Inputs'!P189)*O$14</f>
        <v>-49602227.415296555</v>
      </c>
      <c r="P154" s="106">
        <f>('CBA Inputs'!Q$185-'CBA Inputs'!Q189)*P$14</f>
        <v>-30914350.541518211</v>
      </c>
      <c r="Q154" s="106">
        <f>('CBA Inputs'!R$185-'CBA Inputs'!R189)*Q$14</f>
        <v>43225177.198846817</v>
      </c>
      <c r="R154" s="106">
        <f>('CBA Inputs'!S$185-'CBA Inputs'!S189)*R$14</f>
        <v>-10418345.872275352</v>
      </c>
      <c r="S154" s="106">
        <f>('CBA Inputs'!T$185-'CBA Inputs'!T189)*S$14</f>
        <v>62345729.645471096</v>
      </c>
      <c r="T154" s="106">
        <f>('CBA Inputs'!U$185-'CBA Inputs'!U189)*T$14</f>
        <v>-32930199.363488436</v>
      </c>
      <c r="U154" s="106">
        <f>('CBA Inputs'!V$185-'CBA Inputs'!V189)*U$14</f>
        <v>5882959.1672058105</v>
      </c>
      <c r="V154" s="106">
        <f>('CBA Inputs'!W$185-'CBA Inputs'!W189)*V$14</f>
        <v>-2037497.0152759552</v>
      </c>
      <c r="W154" s="106">
        <f>('CBA Inputs'!X$185-'CBA Inputs'!X189)*W$14</f>
        <v>-17036453.035821438</v>
      </c>
      <c r="X154" s="106">
        <f>('CBA Inputs'!Y$185-'CBA Inputs'!Y189)*X$14</f>
        <v>-15577248.029682875</v>
      </c>
      <c r="Y154" s="106">
        <f>('CBA Inputs'!Z$185-'CBA Inputs'!Z189)*Y$14</f>
        <v>13104048.169463158</v>
      </c>
      <c r="Z154" s="106">
        <f>('CBA Inputs'!AA$185-'CBA Inputs'!AA189)*Z$14</f>
        <v>-4867068.9395446777</v>
      </c>
      <c r="AA154" s="106">
        <f>('CBA Inputs'!AB$185-'CBA Inputs'!AB189)*AA$14</f>
        <v>8874023.7194173336</v>
      </c>
      <c r="AB154" s="106">
        <f>('CBA Inputs'!AC$185-'CBA Inputs'!AC189)*AB$14</f>
        <v>-416348.93493127823</v>
      </c>
      <c r="AC154" s="106">
        <f>('CBA Inputs'!AD$185-'CBA Inputs'!AD189)*AC$14</f>
        <v>-649484.89464378357</v>
      </c>
      <c r="AD154" s="106">
        <f>('CBA Inputs'!AE$185-'CBA Inputs'!AE189)*AD$14</f>
        <v>3239290.22118783</v>
      </c>
      <c r="AE154" s="106">
        <f>('CBA Inputs'!AF$185-'CBA Inputs'!AF189)*AE$14</f>
        <v>0</v>
      </c>
      <c r="AF154" s="106">
        <f>('CBA Inputs'!AG$185-'CBA Inputs'!AG189)*AF$14</f>
        <v>0</v>
      </c>
      <c r="AG154" s="106">
        <f>('CBA Inputs'!AH$185-'CBA Inputs'!AH189)*AG$14</f>
        <v>0</v>
      </c>
      <c r="AH154" s="106">
        <f>('CBA Inputs'!AI$185-'CBA Inputs'!AI189)*AH$14</f>
        <v>0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64782504B59CD43BDF97C5C55CB9D52" ma:contentTypeVersion="1" ma:contentTypeDescription="Create a new document." ma:contentTypeScope="" ma:versionID="245ec07bf3999e5ce729410d237f67a0">
  <xsd:schema xmlns:xsd="http://www.w3.org/2001/XMLSchema" xmlns:xs="http://www.w3.org/2001/XMLSchema" xmlns:p="http://schemas.microsoft.com/office/2006/metadata/properties" xmlns:ns2="9d0d1366-599b-4f21-9efe-be9e1bd6db71" targetNamespace="http://schemas.microsoft.com/office/2006/metadata/properties" ma:root="true" ma:fieldsID="8f49b04f30d4890cf5bd18cb47c60aa0" ns2:_="">
    <xsd:import namespace="9d0d1366-599b-4f21-9efe-be9e1bd6db71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0d1366-599b-4f21-9efe-be9e1bd6db7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7061CBA-415D-48D3-8C79-21C27D57DF21}">
  <ds:schemaRefs>
    <ds:schemaRef ds:uri="http://purl.org/dc/terms/"/>
    <ds:schemaRef ds:uri="9d0d1366-599b-4f21-9efe-be9e1bd6db71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87A96E3E-ECB1-4FF3-998C-01F7D3D0492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A7D1C10-F03C-4AA2-B67E-22A87A7DB5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d0d1366-599b-4f21-9efe-be9e1bd6db7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26</vt:i4>
      </vt:variant>
    </vt:vector>
  </HeadingPairs>
  <TitlesOfParts>
    <vt:vector size="33" baseType="lpstr">
      <vt:lpstr>Overview of the model</vt:lpstr>
      <vt:lpstr>Interface and charts</vt:lpstr>
      <vt:lpstr>Chart tables</vt:lpstr>
      <vt:lpstr>Option inputs</vt:lpstr>
      <vt:lpstr>CBA Inputs</vt:lpstr>
      <vt:lpstr>Calculation</vt:lpstr>
      <vt:lpstr>Weighted calculations</vt:lpstr>
      <vt:lpstr>AnalysisPeriod</vt:lpstr>
      <vt:lpstr>BaseYear</vt:lpstr>
      <vt:lpstr>BreakdownResults</vt:lpstr>
      <vt:lpstr>CapitalCost_ACTIVE</vt:lpstr>
      <vt:lpstr>CapitalCost_Base</vt:lpstr>
      <vt:lpstr>CapitalCost_High</vt:lpstr>
      <vt:lpstr>CapitalCost_Low</vt:lpstr>
      <vt:lpstr>CapitalCost_Selection</vt:lpstr>
      <vt:lpstr>Cost1_Selection</vt:lpstr>
      <vt:lpstr>DiscountRate_ACTIVE</vt:lpstr>
      <vt:lpstr>DiscountRate_Base</vt:lpstr>
      <vt:lpstr>DiscountRate_High</vt:lpstr>
      <vt:lpstr>DiscountRate_Low</vt:lpstr>
      <vt:lpstr>DiscountRate_Selection</vt:lpstr>
      <vt:lpstr>FirstYear</vt:lpstr>
      <vt:lpstr>NPV_Results_H</vt:lpstr>
      <vt:lpstr>NPV_Results_V</vt:lpstr>
      <vt:lpstr>Scenario_Select</vt:lpstr>
      <vt:lpstr>Scenario1_BreakdownResults</vt:lpstr>
      <vt:lpstr>Scenario1_Results_H</vt:lpstr>
      <vt:lpstr>Scenario2_BreakdownResults</vt:lpstr>
      <vt:lpstr>Scenario2_Results_H</vt:lpstr>
      <vt:lpstr>Scenario3_BreakdownResults</vt:lpstr>
      <vt:lpstr>Scenario3_Results_H</vt:lpstr>
      <vt:lpstr>Scenario4_BreakdownResults</vt:lpstr>
      <vt:lpstr>Scenario4_Results_H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 Chen</dc:creator>
  <cp:lastModifiedBy>Tony Chen</cp:lastModifiedBy>
  <cp:lastPrinted>2019-12-18T03:28:32Z</cp:lastPrinted>
  <dcterms:created xsi:type="dcterms:W3CDTF">2014-04-05T12:28:10Z</dcterms:created>
  <dcterms:modified xsi:type="dcterms:W3CDTF">2019-12-19T00:56:04Z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0x010100064782504B59CD43BDF97C5C55CB9D52</vt:lpwstr>
  </property>
</Properties>
</file>